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"/>
    </mc:Choice>
  </mc:AlternateContent>
  <bookViews>
    <workbookView xWindow="90" yWindow="150" windowWidth="7530" windowHeight="4050"/>
  </bookViews>
  <sheets>
    <sheet name="MONTHLY STATS" sheetId="1" r:id="rId1"/>
    <sheet name="YTD TAXES" sheetId="2" r:id="rId2"/>
    <sheet name="TABLE STATS" sheetId="3" r:id="rId3"/>
    <sheet name="SLOT STATS" sheetId="4" r:id="rId4"/>
  </sheets>
  <definedNames>
    <definedName name="_xlnm.Print_Area" localSheetId="0">'MONTHLY STATS'!$A$1:$M$208</definedName>
    <definedName name="_xlnm.Print_Area" localSheetId="3">'SLOT STATS'!$A$1:$I$209</definedName>
    <definedName name="_xlnm.Print_Area" localSheetId="2">'TABLE STATS'!$A$1:$H$208</definedName>
    <definedName name="_xlnm.Print_Titles" localSheetId="0">'MONTHLY STATS'!$1:$7</definedName>
    <definedName name="_xlnm.Print_Titles" localSheetId="3">'SLOT STATS'!$1:$8</definedName>
    <definedName name="_xlnm.Print_Titles" localSheetId="2">'TABLE STATS'!$1:$7</definedName>
  </definedNames>
  <calcPr calcId="162913" calcMode="autoNoTable" iterate="1" iterateCount="1" iterateDelta="0"/>
</workbook>
</file>

<file path=xl/calcChain.xml><?xml version="1.0" encoding="utf-8"?>
<calcChain xmlns="http://schemas.openxmlformats.org/spreadsheetml/2006/main">
  <c r="E207" i="4" l="1"/>
  <c r="D207" i="4"/>
  <c r="C207" i="4"/>
  <c r="F201" i="4"/>
  <c r="G201" i="4"/>
  <c r="H201" i="4" s="1"/>
  <c r="F186" i="4"/>
  <c r="G186" i="4"/>
  <c r="H186" i="4"/>
  <c r="F171" i="4"/>
  <c r="G171" i="4"/>
  <c r="H171" i="4" s="1"/>
  <c r="F156" i="4"/>
  <c r="G156" i="4"/>
  <c r="H156" i="4" s="1"/>
  <c r="F141" i="4"/>
  <c r="G141" i="4"/>
  <c r="H141" i="4" s="1"/>
  <c r="F126" i="4"/>
  <c r="G126" i="4"/>
  <c r="H126" i="4"/>
  <c r="F111" i="4"/>
  <c r="G111" i="4"/>
  <c r="H111" i="4" s="1"/>
  <c r="F96" i="4"/>
  <c r="G96" i="4"/>
  <c r="H96" i="4" s="1"/>
  <c r="F81" i="4"/>
  <c r="G81" i="4"/>
  <c r="H81" i="4" s="1"/>
  <c r="F66" i="4"/>
  <c r="G66" i="4"/>
  <c r="H66" i="4"/>
  <c r="F51" i="4"/>
  <c r="G51" i="4"/>
  <c r="H51" i="4" s="1"/>
  <c r="F36" i="4"/>
  <c r="G36" i="4"/>
  <c r="H36" i="4" s="1"/>
  <c r="F21" i="4"/>
  <c r="G21" i="4"/>
  <c r="H21" i="4" s="1"/>
  <c r="B201" i="4"/>
  <c r="B186" i="4"/>
  <c r="B171" i="4"/>
  <c r="B156" i="4"/>
  <c r="B141" i="4"/>
  <c r="B126" i="4"/>
  <c r="B111" i="4"/>
  <c r="B96" i="4"/>
  <c r="B81" i="4"/>
  <c r="B66" i="4"/>
  <c r="B51" i="4"/>
  <c r="B36" i="4"/>
  <c r="B21" i="4"/>
  <c r="E206" i="3"/>
  <c r="D206" i="3"/>
  <c r="G206" i="3" s="1"/>
  <c r="C206" i="3"/>
  <c r="F200" i="3"/>
  <c r="G200" i="3"/>
  <c r="F185" i="3"/>
  <c r="G185" i="3"/>
  <c r="F170" i="3"/>
  <c r="G170" i="3"/>
  <c r="F155" i="3"/>
  <c r="G155" i="3"/>
  <c r="F140" i="3"/>
  <c r="G140" i="3"/>
  <c r="F125" i="3"/>
  <c r="G125" i="3"/>
  <c r="F110" i="3"/>
  <c r="G110" i="3"/>
  <c r="F95" i="3"/>
  <c r="G95" i="3"/>
  <c r="F80" i="3"/>
  <c r="G80" i="3"/>
  <c r="F65" i="3"/>
  <c r="G65" i="3"/>
  <c r="F50" i="3"/>
  <c r="G50" i="3"/>
  <c r="F35" i="3"/>
  <c r="G35" i="3"/>
  <c r="F20" i="3"/>
  <c r="G20" i="3"/>
  <c r="B200" i="3"/>
  <c r="B185" i="3"/>
  <c r="B170" i="3"/>
  <c r="B155" i="3"/>
  <c r="B140" i="3"/>
  <c r="B125" i="3"/>
  <c r="B110" i="3"/>
  <c r="B95" i="3"/>
  <c r="B80" i="3"/>
  <c r="B65" i="3"/>
  <c r="B50" i="3"/>
  <c r="B35" i="3"/>
  <c r="B20" i="3"/>
  <c r="N42" i="2"/>
  <c r="M42" i="2"/>
  <c r="L42" i="2"/>
  <c r="K42" i="2"/>
  <c r="J42" i="2"/>
  <c r="I42" i="2"/>
  <c r="H42" i="2"/>
  <c r="G42" i="2"/>
  <c r="G44" i="2" s="1"/>
  <c r="F42" i="2"/>
  <c r="E42" i="2"/>
  <c r="D42" i="2"/>
  <c r="C42" i="2"/>
  <c r="B42" i="2"/>
  <c r="O42" i="2" s="1"/>
  <c r="N21" i="2"/>
  <c r="M21" i="2"/>
  <c r="L21" i="2"/>
  <c r="K21" i="2"/>
  <c r="J21" i="2"/>
  <c r="I21" i="2"/>
  <c r="H21" i="2"/>
  <c r="O21" i="2" s="1"/>
  <c r="G21" i="2"/>
  <c r="F21" i="2"/>
  <c r="E21" i="2"/>
  <c r="D21" i="2"/>
  <c r="C21" i="2"/>
  <c r="B21" i="2"/>
  <c r="A42" i="2"/>
  <c r="A21" i="2"/>
  <c r="L206" i="1"/>
  <c r="K206" i="1"/>
  <c r="F206" i="1"/>
  <c r="D206" i="1"/>
  <c r="C206" i="1"/>
  <c r="I206" i="1" s="1"/>
  <c r="M200" i="1"/>
  <c r="I200" i="1"/>
  <c r="G200" i="1"/>
  <c r="H200" i="1" s="1"/>
  <c r="F200" i="1"/>
  <c r="J200" i="1" s="1"/>
  <c r="E200" i="1"/>
  <c r="M185" i="1"/>
  <c r="I185" i="1"/>
  <c r="J185" i="1"/>
  <c r="G185" i="1"/>
  <c r="H185" i="1" s="1"/>
  <c r="F185" i="1"/>
  <c r="E185" i="1"/>
  <c r="H170" i="1"/>
  <c r="M170" i="1"/>
  <c r="I170" i="1"/>
  <c r="G170" i="1"/>
  <c r="F170" i="1"/>
  <c r="J170" i="1" s="1"/>
  <c r="E170" i="1"/>
  <c r="F154" i="1"/>
  <c r="H154" i="1" s="1"/>
  <c r="H155" i="1"/>
  <c r="M155" i="1"/>
  <c r="I155" i="1"/>
  <c r="J155" i="1"/>
  <c r="G155" i="1"/>
  <c r="F155" i="1"/>
  <c r="E155" i="1"/>
  <c r="M140" i="1"/>
  <c r="I140" i="1"/>
  <c r="J140" i="1"/>
  <c r="G140" i="1"/>
  <c r="F140" i="1"/>
  <c r="H140" i="1" s="1"/>
  <c r="E140" i="1"/>
  <c r="F118" i="1"/>
  <c r="F120" i="1"/>
  <c r="H120" i="1" s="1"/>
  <c r="M125" i="1"/>
  <c r="I125" i="1"/>
  <c r="G125" i="1"/>
  <c r="F125" i="1"/>
  <c r="H125" i="1" s="1"/>
  <c r="E125" i="1"/>
  <c r="F106" i="1"/>
  <c r="J106" i="1" s="1"/>
  <c r="H110" i="1"/>
  <c r="M110" i="1"/>
  <c r="I110" i="1"/>
  <c r="J110" i="1"/>
  <c r="G110" i="1"/>
  <c r="F110" i="1"/>
  <c r="E110" i="1"/>
  <c r="F92" i="1"/>
  <c r="F93" i="1"/>
  <c r="H93" i="1" s="1"/>
  <c r="H95" i="1"/>
  <c r="M95" i="1"/>
  <c r="I95" i="1"/>
  <c r="J95" i="1"/>
  <c r="G95" i="1"/>
  <c r="F95" i="1"/>
  <c r="E95" i="1"/>
  <c r="M80" i="1"/>
  <c r="I80" i="1"/>
  <c r="G80" i="1"/>
  <c r="F80" i="1"/>
  <c r="H80" i="1" s="1"/>
  <c r="E80" i="1"/>
  <c r="H65" i="1"/>
  <c r="M65" i="1"/>
  <c r="I65" i="1"/>
  <c r="G65" i="1"/>
  <c r="F65" i="1"/>
  <c r="J65" i="1" s="1"/>
  <c r="E65" i="1"/>
  <c r="M50" i="1"/>
  <c r="I50" i="1"/>
  <c r="J50" i="1"/>
  <c r="G50" i="1"/>
  <c r="G206" i="1" s="1"/>
  <c r="F50" i="1"/>
  <c r="H50" i="1" s="1"/>
  <c r="E50" i="1"/>
  <c r="M35" i="1"/>
  <c r="I35" i="1"/>
  <c r="G35" i="1"/>
  <c r="H35" i="1" s="1"/>
  <c r="F35" i="1"/>
  <c r="J35" i="1" s="1"/>
  <c r="E35" i="1"/>
  <c r="F17" i="1"/>
  <c r="J17" i="1" s="1"/>
  <c r="F18" i="1"/>
  <c r="J18" i="1" s="1"/>
  <c r="H20" i="1"/>
  <c r="M20" i="1"/>
  <c r="I20" i="1"/>
  <c r="G20" i="1"/>
  <c r="F20" i="1"/>
  <c r="J20" i="1" s="1"/>
  <c r="E20" i="1"/>
  <c r="B200" i="1"/>
  <c r="B185" i="1"/>
  <c r="B170" i="1"/>
  <c r="B155" i="1"/>
  <c r="B140" i="1"/>
  <c r="B125" i="1"/>
  <c r="B110" i="1"/>
  <c r="B95" i="1"/>
  <c r="B80" i="1"/>
  <c r="B65" i="1"/>
  <c r="B50" i="1"/>
  <c r="B35" i="1"/>
  <c r="B20" i="1"/>
  <c r="F200" i="4"/>
  <c r="G200" i="4"/>
  <c r="H200" i="4"/>
  <c r="F185" i="4"/>
  <c r="G185" i="4"/>
  <c r="H185" i="4" s="1"/>
  <c r="F170" i="4"/>
  <c r="G170" i="4"/>
  <c r="H170" i="4" s="1"/>
  <c r="F155" i="4"/>
  <c r="G155" i="4"/>
  <c r="H155" i="4"/>
  <c r="F140" i="4"/>
  <c r="G140" i="4"/>
  <c r="H140" i="4"/>
  <c r="F125" i="4"/>
  <c r="G125" i="4"/>
  <c r="H125" i="4" s="1"/>
  <c r="F110" i="4"/>
  <c r="G110" i="4"/>
  <c r="H110" i="4" s="1"/>
  <c r="F95" i="4"/>
  <c r="G95" i="4"/>
  <c r="H95" i="4"/>
  <c r="F80" i="4"/>
  <c r="G80" i="4"/>
  <c r="H80" i="4"/>
  <c r="F65" i="4"/>
  <c r="G65" i="4"/>
  <c r="H65" i="4" s="1"/>
  <c r="F50" i="4"/>
  <c r="G50" i="4"/>
  <c r="H50" i="4" s="1"/>
  <c r="F35" i="4"/>
  <c r="G35" i="4"/>
  <c r="H35" i="4"/>
  <c r="F20" i="4"/>
  <c r="G20" i="4"/>
  <c r="H20" i="4"/>
  <c r="B200" i="4"/>
  <c r="B185" i="4"/>
  <c r="B170" i="4"/>
  <c r="B155" i="4"/>
  <c r="B140" i="4"/>
  <c r="B125" i="4"/>
  <c r="B110" i="4"/>
  <c r="B95" i="4"/>
  <c r="B80" i="4"/>
  <c r="B65" i="4"/>
  <c r="B50" i="4"/>
  <c r="B35" i="4"/>
  <c r="B20" i="4"/>
  <c r="F199" i="3"/>
  <c r="G199" i="3"/>
  <c r="F184" i="3"/>
  <c r="G184" i="3"/>
  <c r="F169" i="3"/>
  <c r="G169" i="3"/>
  <c r="F154" i="3"/>
  <c r="G154" i="3"/>
  <c r="F139" i="3"/>
  <c r="G139" i="3"/>
  <c r="F124" i="3"/>
  <c r="G124" i="3"/>
  <c r="F109" i="3"/>
  <c r="G109" i="3"/>
  <c r="F94" i="3"/>
  <c r="G94" i="3"/>
  <c r="F79" i="3"/>
  <c r="G79" i="3"/>
  <c r="F64" i="3"/>
  <c r="G64" i="3"/>
  <c r="F49" i="3"/>
  <c r="G49" i="3"/>
  <c r="F34" i="3"/>
  <c r="G34" i="3"/>
  <c r="F19" i="3"/>
  <c r="G19" i="3"/>
  <c r="B199" i="3"/>
  <c r="B184" i="3"/>
  <c r="B169" i="3"/>
  <c r="B154" i="3"/>
  <c r="B139" i="3"/>
  <c r="B124" i="3"/>
  <c r="B109" i="3"/>
  <c r="B94" i="3"/>
  <c r="B79" i="3"/>
  <c r="B64" i="3"/>
  <c r="B49" i="3"/>
  <c r="B34" i="3"/>
  <c r="B19" i="3"/>
  <c r="N41" i="2"/>
  <c r="M41" i="2"/>
  <c r="L41" i="2"/>
  <c r="K41" i="2"/>
  <c r="J41" i="2"/>
  <c r="I41" i="2"/>
  <c r="H41" i="2"/>
  <c r="G41" i="2"/>
  <c r="F41" i="2"/>
  <c r="E41" i="2"/>
  <c r="O41" i="2" s="1"/>
  <c r="D41" i="2"/>
  <c r="C41" i="2"/>
  <c r="B41" i="2"/>
  <c r="N20" i="2"/>
  <c r="M20" i="2"/>
  <c r="L20" i="2"/>
  <c r="K20" i="2"/>
  <c r="J20" i="2"/>
  <c r="I20" i="2"/>
  <c r="H20" i="2"/>
  <c r="G20" i="2"/>
  <c r="F20" i="2"/>
  <c r="O20" i="2" s="1"/>
  <c r="E20" i="2"/>
  <c r="D20" i="2"/>
  <c r="C20" i="2"/>
  <c r="B20" i="2"/>
  <c r="A41" i="2"/>
  <c r="A20" i="2"/>
  <c r="F48" i="1"/>
  <c r="J48" i="1" s="1"/>
  <c r="M199" i="1"/>
  <c r="I199" i="1"/>
  <c r="J199" i="1"/>
  <c r="G199" i="1"/>
  <c r="F199" i="1"/>
  <c r="H199" i="1" s="1"/>
  <c r="E199" i="1"/>
  <c r="M184" i="1"/>
  <c r="I184" i="1"/>
  <c r="G184" i="1"/>
  <c r="H184" i="1" s="1"/>
  <c r="F184" i="1"/>
  <c r="J184" i="1" s="1"/>
  <c r="E184" i="1"/>
  <c r="M169" i="1"/>
  <c r="I169" i="1"/>
  <c r="J169" i="1"/>
  <c r="G169" i="1"/>
  <c r="H169" i="1" s="1"/>
  <c r="F169" i="1"/>
  <c r="E169" i="1"/>
  <c r="M154" i="1"/>
  <c r="I154" i="1"/>
  <c r="G154" i="1"/>
  <c r="E154" i="1"/>
  <c r="M139" i="1"/>
  <c r="I139" i="1"/>
  <c r="J139" i="1"/>
  <c r="G139" i="1"/>
  <c r="F139" i="1"/>
  <c r="H139" i="1" s="1"/>
  <c r="E139" i="1"/>
  <c r="M124" i="1"/>
  <c r="I124" i="1"/>
  <c r="G124" i="1"/>
  <c r="F124" i="1"/>
  <c r="J124" i="1" s="1"/>
  <c r="E124" i="1"/>
  <c r="M109" i="1"/>
  <c r="I109" i="1"/>
  <c r="J109" i="1"/>
  <c r="G109" i="1"/>
  <c r="F109" i="1"/>
  <c r="H109" i="1" s="1"/>
  <c r="E109" i="1"/>
  <c r="M94" i="1"/>
  <c r="I94" i="1"/>
  <c r="J94" i="1"/>
  <c r="G94" i="1"/>
  <c r="F94" i="1"/>
  <c r="H94" i="1" s="1"/>
  <c r="E94" i="1"/>
  <c r="H79" i="1"/>
  <c r="M79" i="1"/>
  <c r="I79" i="1"/>
  <c r="J79" i="1"/>
  <c r="G79" i="1"/>
  <c r="F79" i="1"/>
  <c r="E79" i="1"/>
  <c r="M64" i="1"/>
  <c r="I64" i="1"/>
  <c r="G64" i="1"/>
  <c r="F64" i="1"/>
  <c r="H64" i="1" s="1"/>
  <c r="E64" i="1"/>
  <c r="H49" i="1"/>
  <c r="M49" i="1"/>
  <c r="I49" i="1"/>
  <c r="G49" i="1"/>
  <c r="F49" i="1"/>
  <c r="J49" i="1" s="1"/>
  <c r="E49" i="1"/>
  <c r="M34" i="1"/>
  <c r="I34" i="1"/>
  <c r="J34" i="1"/>
  <c r="G34" i="1"/>
  <c r="F34" i="1"/>
  <c r="H34" i="1" s="1"/>
  <c r="E34" i="1"/>
  <c r="M19" i="1"/>
  <c r="I19" i="1"/>
  <c r="G19" i="1"/>
  <c r="F19" i="1"/>
  <c r="J19" i="1" s="1"/>
  <c r="E19" i="1"/>
  <c r="B199" i="1"/>
  <c r="B184" i="1"/>
  <c r="B169" i="1"/>
  <c r="B154" i="1"/>
  <c r="B139" i="1"/>
  <c r="B124" i="1"/>
  <c r="B109" i="1"/>
  <c r="B94" i="1"/>
  <c r="B79" i="1"/>
  <c r="B64" i="1"/>
  <c r="B49" i="1"/>
  <c r="B34" i="1"/>
  <c r="B19" i="1"/>
  <c r="F199" i="4"/>
  <c r="G199" i="4"/>
  <c r="H199" i="4" s="1"/>
  <c r="F184" i="4"/>
  <c r="G184" i="4"/>
  <c r="H184" i="4" s="1"/>
  <c r="F169" i="4"/>
  <c r="G169" i="4"/>
  <c r="H169" i="4"/>
  <c r="F154" i="4"/>
  <c r="G154" i="4"/>
  <c r="H154" i="4"/>
  <c r="F139" i="4"/>
  <c r="G139" i="4"/>
  <c r="H139" i="4" s="1"/>
  <c r="F124" i="4"/>
  <c r="G124" i="4"/>
  <c r="H124" i="4" s="1"/>
  <c r="F109" i="4"/>
  <c r="G109" i="4"/>
  <c r="H109" i="4"/>
  <c r="F94" i="4"/>
  <c r="G94" i="4"/>
  <c r="H94" i="4"/>
  <c r="F79" i="4"/>
  <c r="G79" i="4"/>
  <c r="H79" i="4" s="1"/>
  <c r="F64" i="4"/>
  <c r="G64" i="4"/>
  <c r="H64" i="4" s="1"/>
  <c r="F49" i="4"/>
  <c r="G49" i="4"/>
  <c r="H49" i="4"/>
  <c r="F34" i="4"/>
  <c r="G34" i="4"/>
  <c r="H34" i="4"/>
  <c r="F19" i="4"/>
  <c r="G19" i="4"/>
  <c r="H19" i="4" s="1"/>
  <c r="B199" i="4"/>
  <c r="B184" i="4"/>
  <c r="B169" i="4"/>
  <c r="B154" i="4"/>
  <c r="B139" i="4"/>
  <c r="B124" i="4"/>
  <c r="B109" i="4"/>
  <c r="B94" i="4"/>
  <c r="B79" i="4"/>
  <c r="B64" i="4"/>
  <c r="B49" i="4"/>
  <c r="B34" i="4"/>
  <c r="B19" i="4"/>
  <c r="F198" i="3"/>
  <c r="G198" i="3"/>
  <c r="F183" i="3"/>
  <c r="G183" i="3"/>
  <c r="F168" i="3"/>
  <c r="G168" i="3"/>
  <c r="F153" i="3"/>
  <c r="G153" i="3"/>
  <c r="F138" i="3"/>
  <c r="G138" i="3"/>
  <c r="F123" i="3"/>
  <c r="G123" i="3"/>
  <c r="F108" i="3"/>
  <c r="G108" i="3"/>
  <c r="F93" i="3"/>
  <c r="G93" i="3"/>
  <c r="F78" i="3"/>
  <c r="G78" i="3"/>
  <c r="F63" i="3"/>
  <c r="G63" i="3"/>
  <c r="F48" i="3"/>
  <c r="G48" i="3"/>
  <c r="F33" i="3"/>
  <c r="G33" i="3"/>
  <c r="F18" i="3"/>
  <c r="G18" i="3"/>
  <c r="B198" i="3"/>
  <c r="B183" i="3"/>
  <c r="B168" i="3"/>
  <c r="B153" i="3"/>
  <c r="B138" i="3"/>
  <c r="B123" i="3"/>
  <c r="B108" i="3"/>
  <c r="B93" i="3"/>
  <c r="B78" i="3"/>
  <c r="B63" i="3"/>
  <c r="B48" i="3"/>
  <c r="B33" i="3"/>
  <c r="B18" i="3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O40" i="2" s="1"/>
  <c r="N19" i="2"/>
  <c r="M19" i="2"/>
  <c r="L19" i="2"/>
  <c r="K19" i="2"/>
  <c r="J19" i="2"/>
  <c r="I19" i="2"/>
  <c r="H19" i="2"/>
  <c r="G19" i="2"/>
  <c r="F19" i="2"/>
  <c r="E19" i="2"/>
  <c r="O19" i="2" s="1"/>
  <c r="D19" i="2"/>
  <c r="C19" i="2"/>
  <c r="B19" i="2"/>
  <c r="A40" i="2"/>
  <c r="A19" i="2"/>
  <c r="F47" i="1"/>
  <c r="H47" i="1" s="1"/>
  <c r="F46" i="1"/>
  <c r="J46" i="1" s="1"/>
  <c r="F119" i="1"/>
  <c r="J119" i="1" s="1"/>
  <c r="F182" i="1"/>
  <c r="G75" i="1"/>
  <c r="H198" i="1"/>
  <c r="M198" i="1"/>
  <c r="I198" i="1"/>
  <c r="G198" i="1"/>
  <c r="F198" i="1"/>
  <c r="J198" i="1" s="1"/>
  <c r="E198" i="1"/>
  <c r="H183" i="1"/>
  <c r="M183" i="1"/>
  <c r="I183" i="1"/>
  <c r="G183" i="1"/>
  <c r="F183" i="1"/>
  <c r="J183" i="1" s="1"/>
  <c r="E183" i="1"/>
  <c r="M168" i="1"/>
  <c r="I168" i="1"/>
  <c r="G168" i="1"/>
  <c r="F168" i="1"/>
  <c r="H168" i="1" s="1"/>
  <c r="E168" i="1"/>
  <c r="H153" i="1"/>
  <c r="M153" i="1"/>
  <c r="I153" i="1"/>
  <c r="J153" i="1"/>
  <c r="G153" i="1"/>
  <c r="F153" i="1"/>
  <c r="E153" i="1"/>
  <c r="M138" i="1"/>
  <c r="I138" i="1"/>
  <c r="J138" i="1"/>
  <c r="G138" i="1"/>
  <c r="F138" i="1"/>
  <c r="H138" i="1" s="1"/>
  <c r="E138" i="1"/>
  <c r="M123" i="1"/>
  <c r="I123" i="1"/>
  <c r="J123" i="1"/>
  <c r="G123" i="1"/>
  <c r="F123" i="1"/>
  <c r="H123" i="1" s="1"/>
  <c r="E123" i="1"/>
  <c r="H108" i="1"/>
  <c r="M108" i="1"/>
  <c r="I108" i="1"/>
  <c r="J108" i="1"/>
  <c r="G108" i="1"/>
  <c r="F108" i="1"/>
  <c r="E108" i="1"/>
  <c r="M93" i="1"/>
  <c r="I93" i="1"/>
  <c r="G93" i="1"/>
  <c r="E93" i="1"/>
  <c r="H78" i="1"/>
  <c r="M78" i="1"/>
  <c r="I78" i="1"/>
  <c r="G78" i="1"/>
  <c r="F78" i="1"/>
  <c r="J78" i="1" s="1"/>
  <c r="E78" i="1"/>
  <c r="M63" i="1"/>
  <c r="I63" i="1"/>
  <c r="G63" i="1"/>
  <c r="F63" i="1"/>
  <c r="H63" i="1" s="1"/>
  <c r="E63" i="1"/>
  <c r="M48" i="1"/>
  <c r="I48" i="1"/>
  <c r="G48" i="1"/>
  <c r="E48" i="1"/>
  <c r="M33" i="1"/>
  <c r="I33" i="1"/>
  <c r="J33" i="1"/>
  <c r="G33" i="1"/>
  <c r="F33" i="1"/>
  <c r="H33" i="1" s="1"/>
  <c r="E33" i="1"/>
  <c r="M18" i="1"/>
  <c r="I18" i="1"/>
  <c r="G18" i="1"/>
  <c r="E18" i="1"/>
  <c r="B198" i="1"/>
  <c r="B183" i="1"/>
  <c r="B168" i="1"/>
  <c r="B153" i="1"/>
  <c r="B138" i="1"/>
  <c r="B123" i="1"/>
  <c r="B108" i="1"/>
  <c r="B93" i="1"/>
  <c r="B78" i="1"/>
  <c r="B63" i="1"/>
  <c r="B48" i="1"/>
  <c r="B33" i="1"/>
  <c r="B18" i="1"/>
  <c r="F198" i="4"/>
  <c r="G198" i="4"/>
  <c r="H198" i="4"/>
  <c r="F183" i="4"/>
  <c r="G183" i="4"/>
  <c r="H183" i="4"/>
  <c r="F168" i="4"/>
  <c r="G168" i="4"/>
  <c r="H168" i="4"/>
  <c r="F153" i="4"/>
  <c r="G153" i="4"/>
  <c r="H153" i="4" s="1"/>
  <c r="F138" i="4"/>
  <c r="G138" i="4"/>
  <c r="H138" i="4"/>
  <c r="F123" i="4"/>
  <c r="G123" i="4"/>
  <c r="H123" i="4"/>
  <c r="F108" i="4"/>
  <c r="G108" i="4"/>
  <c r="H108" i="4"/>
  <c r="F93" i="4"/>
  <c r="G93" i="4"/>
  <c r="H93" i="4" s="1"/>
  <c r="F78" i="4"/>
  <c r="G78" i="4"/>
  <c r="H78" i="4"/>
  <c r="F63" i="4"/>
  <c r="G63" i="4"/>
  <c r="H63" i="4"/>
  <c r="F48" i="4"/>
  <c r="G48" i="4"/>
  <c r="H48" i="4"/>
  <c r="F33" i="4"/>
  <c r="G33" i="4"/>
  <c r="H33" i="4" s="1"/>
  <c r="F18" i="4"/>
  <c r="G18" i="4"/>
  <c r="H18" i="4"/>
  <c r="B198" i="4"/>
  <c r="B183" i="4"/>
  <c r="B168" i="4"/>
  <c r="B153" i="4"/>
  <c r="B138" i="4"/>
  <c r="B123" i="4"/>
  <c r="B108" i="4"/>
  <c r="B93" i="4"/>
  <c r="B78" i="4"/>
  <c r="B63" i="4"/>
  <c r="B48" i="4"/>
  <c r="B33" i="4"/>
  <c r="B18" i="4"/>
  <c r="F197" i="3"/>
  <c r="G197" i="3"/>
  <c r="F182" i="3"/>
  <c r="G182" i="3"/>
  <c r="F167" i="3"/>
  <c r="G167" i="3"/>
  <c r="F152" i="3"/>
  <c r="G152" i="3"/>
  <c r="F137" i="3"/>
  <c r="G137" i="3"/>
  <c r="F122" i="3"/>
  <c r="G122" i="3"/>
  <c r="F107" i="3"/>
  <c r="G107" i="3"/>
  <c r="F92" i="3"/>
  <c r="G92" i="3"/>
  <c r="F77" i="3"/>
  <c r="G77" i="3"/>
  <c r="F62" i="3"/>
  <c r="G62" i="3"/>
  <c r="F47" i="3"/>
  <c r="G47" i="3"/>
  <c r="F32" i="3"/>
  <c r="G32" i="3"/>
  <c r="F17" i="3"/>
  <c r="G17" i="3"/>
  <c r="B197" i="3"/>
  <c r="B182" i="3"/>
  <c r="B167" i="3"/>
  <c r="B152" i="3"/>
  <c r="B137" i="3"/>
  <c r="B122" i="3"/>
  <c r="B107" i="3"/>
  <c r="B92" i="3"/>
  <c r="B77" i="3"/>
  <c r="B62" i="3"/>
  <c r="B47" i="3"/>
  <c r="B32" i="3"/>
  <c r="B17" i="3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O39" i="2" s="1"/>
  <c r="N18" i="2"/>
  <c r="M18" i="2"/>
  <c r="L18" i="2"/>
  <c r="K18" i="2"/>
  <c r="J18" i="2"/>
  <c r="I18" i="2"/>
  <c r="H18" i="2"/>
  <c r="H23" i="2" s="1"/>
  <c r="G18" i="2"/>
  <c r="F18" i="2"/>
  <c r="E18" i="2"/>
  <c r="D18" i="2"/>
  <c r="C18" i="2"/>
  <c r="B18" i="2"/>
  <c r="A39" i="2"/>
  <c r="A18" i="2"/>
  <c r="F116" i="1"/>
  <c r="F115" i="1"/>
  <c r="F135" i="1"/>
  <c r="H135" i="1" s="1"/>
  <c r="F134" i="1"/>
  <c r="J134" i="1" s="1"/>
  <c r="G117" i="1"/>
  <c r="G116" i="1"/>
  <c r="G115" i="1"/>
  <c r="M197" i="1"/>
  <c r="I197" i="1"/>
  <c r="J197" i="1"/>
  <c r="G197" i="1"/>
  <c r="F197" i="1"/>
  <c r="H197" i="1" s="1"/>
  <c r="E197" i="1"/>
  <c r="H182" i="1"/>
  <c r="M182" i="1"/>
  <c r="I182" i="1"/>
  <c r="G182" i="1"/>
  <c r="J182" i="1"/>
  <c r="E182" i="1"/>
  <c r="M167" i="1"/>
  <c r="I167" i="1"/>
  <c r="G167" i="1"/>
  <c r="F167" i="1"/>
  <c r="H167" i="1" s="1"/>
  <c r="E167" i="1"/>
  <c r="H152" i="1"/>
  <c r="M152" i="1"/>
  <c r="I152" i="1"/>
  <c r="G152" i="1"/>
  <c r="F152" i="1"/>
  <c r="J152" i="1" s="1"/>
  <c r="E152" i="1"/>
  <c r="M137" i="1"/>
  <c r="I137" i="1"/>
  <c r="G137" i="1"/>
  <c r="F137" i="1"/>
  <c r="H137" i="1" s="1"/>
  <c r="E137" i="1"/>
  <c r="H122" i="1"/>
  <c r="M122" i="1"/>
  <c r="I122" i="1"/>
  <c r="J122" i="1"/>
  <c r="G122" i="1"/>
  <c r="F122" i="1"/>
  <c r="E122" i="1"/>
  <c r="M107" i="1"/>
  <c r="I107" i="1"/>
  <c r="J107" i="1"/>
  <c r="G107" i="1"/>
  <c r="F107" i="1"/>
  <c r="H107" i="1" s="1"/>
  <c r="E107" i="1"/>
  <c r="M92" i="1"/>
  <c r="I92" i="1"/>
  <c r="G92" i="1"/>
  <c r="J92" i="1"/>
  <c r="E92" i="1"/>
  <c r="M77" i="1"/>
  <c r="I77" i="1"/>
  <c r="J77" i="1"/>
  <c r="G77" i="1"/>
  <c r="F77" i="1"/>
  <c r="H77" i="1" s="1"/>
  <c r="E77" i="1"/>
  <c r="M62" i="1"/>
  <c r="I62" i="1"/>
  <c r="J62" i="1"/>
  <c r="G62" i="1"/>
  <c r="F62" i="1"/>
  <c r="H62" i="1" s="1"/>
  <c r="E62" i="1"/>
  <c r="M47" i="1"/>
  <c r="I47" i="1"/>
  <c r="G47" i="1"/>
  <c r="E47" i="1"/>
  <c r="M32" i="1"/>
  <c r="I32" i="1"/>
  <c r="J32" i="1"/>
  <c r="G32" i="1"/>
  <c r="F32" i="1"/>
  <c r="H32" i="1" s="1"/>
  <c r="E32" i="1"/>
  <c r="H17" i="1"/>
  <c r="M17" i="1"/>
  <c r="I17" i="1"/>
  <c r="G17" i="1"/>
  <c r="E17" i="1"/>
  <c r="B197" i="1"/>
  <c r="B182" i="1"/>
  <c r="B167" i="1"/>
  <c r="B152" i="1"/>
  <c r="B137" i="1"/>
  <c r="B122" i="1"/>
  <c r="B107" i="1"/>
  <c r="B92" i="1"/>
  <c r="B77" i="1"/>
  <c r="B62" i="1"/>
  <c r="B47" i="1"/>
  <c r="B32" i="1"/>
  <c r="B17" i="1"/>
  <c r="F197" i="4"/>
  <c r="G197" i="4"/>
  <c r="H197" i="4" s="1"/>
  <c r="F182" i="4"/>
  <c r="G182" i="4"/>
  <c r="H182" i="4"/>
  <c r="F167" i="4"/>
  <c r="G167" i="4"/>
  <c r="H167" i="4"/>
  <c r="F152" i="4"/>
  <c r="G152" i="4"/>
  <c r="H152" i="4"/>
  <c r="F137" i="4"/>
  <c r="G137" i="4"/>
  <c r="H137" i="4" s="1"/>
  <c r="F122" i="4"/>
  <c r="G122" i="4"/>
  <c r="H122" i="4"/>
  <c r="F107" i="4"/>
  <c r="G107" i="4"/>
  <c r="H107" i="4"/>
  <c r="F92" i="4"/>
  <c r="G92" i="4"/>
  <c r="H92" i="4"/>
  <c r="F77" i="4"/>
  <c r="G77" i="4"/>
  <c r="H77" i="4" s="1"/>
  <c r="F62" i="4"/>
  <c r="G62" i="4"/>
  <c r="H62" i="4"/>
  <c r="F47" i="4"/>
  <c r="G47" i="4"/>
  <c r="H47" i="4"/>
  <c r="F32" i="4"/>
  <c r="G32" i="4"/>
  <c r="H32" i="4"/>
  <c r="F17" i="4"/>
  <c r="G17" i="4"/>
  <c r="H17" i="4" s="1"/>
  <c r="B197" i="4"/>
  <c r="B182" i="4"/>
  <c r="B167" i="4"/>
  <c r="B152" i="4"/>
  <c r="B137" i="4"/>
  <c r="B122" i="4"/>
  <c r="B107" i="4"/>
  <c r="B92" i="4"/>
  <c r="B77" i="4"/>
  <c r="B62" i="4"/>
  <c r="B47" i="4"/>
  <c r="B32" i="4"/>
  <c r="B17" i="4"/>
  <c r="F196" i="3"/>
  <c r="G196" i="3"/>
  <c r="F181" i="3"/>
  <c r="G181" i="3"/>
  <c r="F166" i="3"/>
  <c r="G166" i="3"/>
  <c r="F151" i="3"/>
  <c r="G151" i="3"/>
  <c r="F136" i="3"/>
  <c r="G136" i="3"/>
  <c r="F121" i="3"/>
  <c r="G121" i="3"/>
  <c r="F106" i="3"/>
  <c r="G106" i="3"/>
  <c r="F91" i="3"/>
  <c r="G91" i="3"/>
  <c r="F76" i="3"/>
  <c r="G76" i="3"/>
  <c r="F61" i="3"/>
  <c r="G61" i="3"/>
  <c r="F46" i="3"/>
  <c r="G46" i="3"/>
  <c r="F31" i="3"/>
  <c r="G31" i="3"/>
  <c r="F16" i="3"/>
  <c r="G16" i="3"/>
  <c r="B196" i="3"/>
  <c r="B181" i="3"/>
  <c r="B166" i="3"/>
  <c r="B151" i="3"/>
  <c r="B136" i="3"/>
  <c r="B121" i="3"/>
  <c r="B106" i="3"/>
  <c r="B91" i="3"/>
  <c r="B76" i="3"/>
  <c r="B61" i="3"/>
  <c r="B46" i="3"/>
  <c r="B31" i="3"/>
  <c r="B16" i="3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O38" i="2" s="1"/>
  <c r="N17" i="2"/>
  <c r="M17" i="2"/>
  <c r="L17" i="2"/>
  <c r="K17" i="2"/>
  <c r="J17" i="2"/>
  <c r="I17" i="2"/>
  <c r="H17" i="2"/>
  <c r="G17" i="2"/>
  <c r="F17" i="2"/>
  <c r="E17" i="2"/>
  <c r="D17" i="2"/>
  <c r="O17" i="2" s="1"/>
  <c r="C17" i="2"/>
  <c r="B17" i="2"/>
  <c r="A38" i="2"/>
  <c r="A17" i="2"/>
  <c r="F15" i="1"/>
  <c r="J15" i="1" s="1"/>
  <c r="F45" i="1"/>
  <c r="F90" i="1"/>
  <c r="H90" i="1" s="1"/>
  <c r="F148" i="1"/>
  <c r="F195" i="1"/>
  <c r="M196" i="1"/>
  <c r="I196" i="1"/>
  <c r="J196" i="1"/>
  <c r="G196" i="1"/>
  <c r="H196" i="1" s="1"/>
  <c r="F196" i="1"/>
  <c r="E196" i="1"/>
  <c r="M181" i="1"/>
  <c r="I181" i="1"/>
  <c r="J181" i="1"/>
  <c r="G181" i="1"/>
  <c r="F181" i="1"/>
  <c r="H181" i="1"/>
  <c r="E181" i="1"/>
  <c r="H166" i="1"/>
  <c r="M166" i="1"/>
  <c r="I166" i="1"/>
  <c r="G166" i="1"/>
  <c r="F166" i="1"/>
  <c r="J166" i="1" s="1"/>
  <c r="E166" i="1"/>
  <c r="M151" i="1"/>
  <c r="I151" i="1"/>
  <c r="G151" i="1"/>
  <c r="F151" i="1"/>
  <c r="H151" i="1" s="1"/>
  <c r="E151" i="1"/>
  <c r="H136" i="1"/>
  <c r="M136" i="1"/>
  <c r="I136" i="1"/>
  <c r="J136" i="1"/>
  <c r="G136" i="1"/>
  <c r="F136" i="1"/>
  <c r="E136" i="1"/>
  <c r="M121" i="1"/>
  <c r="I121" i="1"/>
  <c r="J121" i="1"/>
  <c r="G121" i="1"/>
  <c r="F121" i="1"/>
  <c r="H121" i="1" s="1"/>
  <c r="E121" i="1"/>
  <c r="M106" i="1"/>
  <c r="I106" i="1"/>
  <c r="G106" i="1"/>
  <c r="E106" i="1"/>
  <c r="M91" i="1"/>
  <c r="I91" i="1"/>
  <c r="J91" i="1"/>
  <c r="G91" i="1"/>
  <c r="F91" i="1"/>
  <c r="H91" i="1" s="1"/>
  <c r="E91" i="1"/>
  <c r="M76" i="1"/>
  <c r="I76" i="1"/>
  <c r="J76" i="1"/>
  <c r="G76" i="1"/>
  <c r="F76" i="1"/>
  <c r="H76" i="1" s="1"/>
  <c r="E76" i="1"/>
  <c r="H61" i="1"/>
  <c r="M61" i="1"/>
  <c r="I61" i="1"/>
  <c r="J61" i="1"/>
  <c r="G61" i="1"/>
  <c r="F61" i="1"/>
  <c r="E61" i="1"/>
  <c r="M46" i="1"/>
  <c r="I46" i="1"/>
  <c r="G46" i="1"/>
  <c r="E46" i="1"/>
  <c r="H31" i="1"/>
  <c r="M31" i="1"/>
  <c r="I31" i="1"/>
  <c r="J31" i="1"/>
  <c r="G31" i="1"/>
  <c r="F31" i="1"/>
  <c r="E31" i="1"/>
  <c r="M16" i="1"/>
  <c r="I16" i="1"/>
  <c r="G16" i="1"/>
  <c r="F16" i="1"/>
  <c r="H16" i="1" s="1"/>
  <c r="E16" i="1"/>
  <c r="B196" i="1"/>
  <c r="B181" i="1"/>
  <c r="B166" i="1"/>
  <c r="B151" i="1"/>
  <c r="B136" i="1"/>
  <c r="B121" i="1"/>
  <c r="B106" i="1"/>
  <c r="B91" i="1"/>
  <c r="B76" i="1"/>
  <c r="B61" i="1"/>
  <c r="B46" i="1"/>
  <c r="B31" i="1"/>
  <c r="B16" i="1"/>
  <c r="F196" i="4"/>
  <c r="G196" i="4"/>
  <c r="H196" i="4" s="1"/>
  <c r="F181" i="4"/>
  <c r="G181" i="4"/>
  <c r="H181" i="4"/>
  <c r="F166" i="4"/>
  <c r="G166" i="4"/>
  <c r="H166" i="4"/>
  <c r="F151" i="4"/>
  <c r="G151" i="4"/>
  <c r="H151" i="4" s="1"/>
  <c r="F136" i="4"/>
  <c r="G136" i="4"/>
  <c r="H136" i="4" s="1"/>
  <c r="F121" i="4"/>
  <c r="G121" i="4"/>
  <c r="H121" i="4"/>
  <c r="F106" i="4"/>
  <c r="G106" i="4"/>
  <c r="H106" i="4"/>
  <c r="F91" i="4"/>
  <c r="G91" i="4"/>
  <c r="H91" i="4" s="1"/>
  <c r="F76" i="4"/>
  <c r="G76" i="4"/>
  <c r="H76" i="4" s="1"/>
  <c r="F61" i="4"/>
  <c r="G61" i="4"/>
  <c r="H61" i="4"/>
  <c r="F46" i="4"/>
  <c r="G46" i="4"/>
  <c r="H46" i="4"/>
  <c r="F31" i="4"/>
  <c r="G31" i="4"/>
  <c r="H31" i="4" s="1"/>
  <c r="F16" i="4"/>
  <c r="G16" i="4"/>
  <c r="H16" i="4" s="1"/>
  <c r="B196" i="4"/>
  <c r="B181" i="4"/>
  <c r="B166" i="4"/>
  <c r="B151" i="4"/>
  <c r="B136" i="4"/>
  <c r="B121" i="4"/>
  <c r="B106" i="4"/>
  <c r="B91" i="4"/>
  <c r="B76" i="4"/>
  <c r="B61" i="4"/>
  <c r="B46" i="4"/>
  <c r="B31" i="4"/>
  <c r="B16" i="4"/>
  <c r="F195" i="3"/>
  <c r="G195" i="3"/>
  <c r="F180" i="3"/>
  <c r="G180" i="3"/>
  <c r="F165" i="3"/>
  <c r="G165" i="3"/>
  <c r="F150" i="3"/>
  <c r="G150" i="3"/>
  <c r="F135" i="3"/>
  <c r="G135" i="3"/>
  <c r="F120" i="3"/>
  <c r="G120" i="3"/>
  <c r="F105" i="3"/>
  <c r="G105" i="3"/>
  <c r="F90" i="3"/>
  <c r="G90" i="3"/>
  <c r="F75" i="3"/>
  <c r="G75" i="3"/>
  <c r="F60" i="3"/>
  <c r="G60" i="3"/>
  <c r="F45" i="3"/>
  <c r="G45" i="3"/>
  <c r="F30" i="3"/>
  <c r="G30" i="3"/>
  <c r="F15" i="3"/>
  <c r="G15" i="3"/>
  <c r="B195" i="3"/>
  <c r="B180" i="3"/>
  <c r="B165" i="3"/>
  <c r="B150" i="3"/>
  <c r="B135" i="3"/>
  <c r="B120" i="3"/>
  <c r="B105" i="3"/>
  <c r="B90" i="3"/>
  <c r="B75" i="3"/>
  <c r="B60" i="3"/>
  <c r="B45" i="3"/>
  <c r="B30" i="3"/>
  <c r="B15" i="3"/>
  <c r="N37" i="2"/>
  <c r="M37" i="2"/>
  <c r="L37" i="2"/>
  <c r="K37" i="2"/>
  <c r="O37" i="2" s="1"/>
  <c r="J37" i="2"/>
  <c r="I37" i="2"/>
  <c r="H37" i="2"/>
  <c r="G37" i="2"/>
  <c r="F37" i="2"/>
  <c r="E37" i="2"/>
  <c r="D37" i="2"/>
  <c r="C37" i="2"/>
  <c r="B37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O16" i="2" s="1"/>
  <c r="A37" i="2"/>
  <c r="A16" i="2"/>
  <c r="F24" i="1"/>
  <c r="H24" i="1" s="1"/>
  <c r="J116" i="1"/>
  <c r="F174" i="1"/>
  <c r="F175" i="1"/>
  <c r="H175" i="1"/>
  <c r="M195" i="1"/>
  <c r="I195" i="1"/>
  <c r="G195" i="1"/>
  <c r="J195" i="1"/>
  <c r="E195" i="1"/>
  <c r="M180" i="1"/>
  <c r="I180" i="1"/>
  <c r="G180" i="1"/>
  <c r="F180" i="1"/>
  <c r="H180" i="1" s="1"/>
  <c r="E180" i="1"/>
  <c r="M165" i="1"/>
  <c r="I165" i="1"/>
  <c r="G165" i="1"/>
  <c r="F165" i="1"/>
  <c r="J165" i="1" s="1"/>
  <c r="E165" i="1"/>
  <c r="M150" i="1"/>
  <c r="I150" i="1"/>
  <c r="J150" i="1"/>
  <c r="G150" i="1"/>
  <c r="F150" i="1"/>
  <c r="H150" i="1"/>
  <c r="E150" i="1"/>
  <c r="M135" i="1"/>
  <c r="I135" i="1"/>
  <c r="G135" i="1"/>
  <c r="J135" i="1"/>
  <c r="E135" i="1"/>
  <c r="M120" i="1"/>
  <c r="I120" i="1"/>
  <c r="G120" i="1"/>
  <c r="E120" i="1"/>
  <c r="M105" i="1"/>
  <c r="I105" i="1"/>
  <c r="G105" i="1"/>
  <c r="F105" i="1"/>
  <c r="J105" i="1" s="1"/>
  <c r="E105" i="1"/>
  <c r="M90" i="1"/>
  <c r="I90" i="1"/>
  <c r="G90" i="1"/>
  <c r="E90" i="1"/>
  <c r="M75" i="1"/>
  <c r="I75" i="1"/>
  <c r="H75" i="1"/>
  <c r="F75" i="1"/>
  <c r="J75" i="1"/>
  <c r="E75" i="1"/>
  <c r="M60" i="1"/>
  <c r="I60" i="1"/>
  <c r="G60" i="1"/>
  <c r="H60" i="1" s="1"/>
  <c r="F60" i="1"/>
  <c r="J60" i="1" s="1"/>
  <c r="E60" i="1"/>
  <c r="M45" i="1"/>
  <c r="I45" i="1"/>
  <c r="G45" i="1"/>
  <c r="H45" i="1" s="1"/>
  <c r="E45" i="1"/>
  <c r="M30" i="1"/>
  <c r="I30" i="1"/>
  <c r="J30" i="1"/>
  <c r="G30" i="1"/>
  <c r="G37" i="1" s="1"/>
  <c r="F30" i="1"/>
  <c r="E30" i="1"/>
  <c r="M15" i="1"/>
  <c r="I15" i="1"/>
  <c r="G15" i="1"/>
  <c r="E15" i="1"/>
  <c r="B195" i="1"/>
  <c r="B180" i="1"/>
  <c r="B165" i="1"/>
  <c r="B150" i="1"/>
  <c r="B135" i="1"/>
  <c r="B120" i="1"/>
  <c r="B105" i="1"/>
  <c r="B90" i="1"/>
  <c r="B75" i="1"/>
  <c r="B60" i="1"/>
  <c r="B45" i="1"/>
  <c r="B30" i="1"/>
  <c r="B15" i="1"/>
  <c r="F195" i="4"/>
  <c r="G195" i="4"/>
  <c r="H195" i="4"/>
  <c r="F180" i="4"/>
  <c r="G180" i="4"/>
  <c r="H180" i="4"/>
  <c r="F165" i="4"/>
  <c r="G165" i="4"/>
  <c r="H165" i="4" s="1"/>
  <c r="F150" i="4"/>
  <c r="G150" i="4"/>
  <c r="H150" i="4"/>
  <c r="F135" i="4"/>
  <c r="G135" i="4"/>
  <c r="H135" i="4"/>
  <c r="F120" i="4"/>
  <c r="G120" i="4"/>
  <c r="H120" i="4"/>
  <c r="F105" i="4"/>
  <c r="G105" i="4"/>
  <c r="H105" i="4" s="1"/>
  <c r="F90" i="4"/>
  <c r="G90" i="4"/>
  <c r="H90" i="4"/>
  <c r="F75" i="4"/>
  <c r="G75" i="4"/>
  <c r="H75" i="4"/>
  <c r="F60" i="4"/>
  <c r="G60" i="4"/>
  <c r="H60" i="4"/>
  <c r="F45" i="4"/>
  <c r="G45" i="4"/>
  <c r="H45" i="4" s="1"/>
  <c r="F30" i="4"/>
  <c r="G30" i="4"/>
  <c r="H30" i="4"/>
  <c r="F15" i="4"/>
  <c r="G15" i="4"/>
  <c r="H15" i="4"/>
  <c r="B195" i="4"/>
  <c r="B180" i="4"/>
  <c r="B165" i="4"/>
  <c r="B150" i="4"/>
  <c r="B135" i="4"/>
  <c r="B120" i="4"/>
  <c r="B105" i="4"/>
  <c r="B90" i="4"/>
  <c r="B75" i="4"/>
  <c r="B60" i="4"/>
  <c r="B45" i="4"/>
  <c r="B30" i="4"/>
  <c r="B15" i="4"/>
  <c r="F194" i="3"/>
  <c r="G194" i="3"/>
  <c r="F179" i="3"/>
  <c r="G179" i="3"/>
  <c r="F164" i="3"/>
  <c r="G164" i="3"/>
  <c r="F149" i="3"/>
  <c r="G149" i="3"/>
  <c r="F134" i="3"/>
  <c r="G134" i="3"/>
  <c r="F119" i="3"/>
  <c r="G119" i="3"/>
  <c r="F104" i="3"/>
  <c r="G104" i="3"/>
  <c r="F89" i="3"/>
  <c r="G89" i="3"/>
  <c r="F74" i="3"/>
  <c r="G74" i="3"/>
  <c r="F59" i="3"/>
  <c r="G59" i="3"/>
  <c r="F44" i="3"/>
  <c r="G44" i="3"/>
  <c r="F29" i="3"/>
  <c r="G29" i="3"/>
  <c r="F14" i="3"/>
  <c r="G14" i="3"/>
  <c r="B194" i="3"/>
  <c r="B179" i="3"/>
  <c r="B164" i="3"/>
  <c r="B149" i="3"/>
  <c r="B134" i="3"/>
  <c r="B119" i="3"/>
  <c r="B104" i="3"/>
  <c r="B89" i="3"/>
  <c r="B74" i="3"/>
  <c r="B59" i="3"/>
  <c r="B44" i="3"/>
  <c r="B29" i="3"/>
  <c r="B14" i="3"/>
  <c r="C33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O36" i="2" s="1"/>
  <c r="N15" i="2"/>
  <c r="M15" i="2"/>
  <c r="L15" i="2"/>
  <c r="K15" i="2"/>
  <c r="J15" i="2"/>
  <c r="J23" i="2" s="1"/>
  <c r="I15" i="2"/>
  <c r="O15" i="2" s="1"/>
  <c r="H15" i="2"/>
  <c r="G15" i="2"/>
  <c r="F15" i="2"/>
  <c r="E15" i="2"/>
  <c r="D15" i="2"/>
  <c r="C15" i="2"/>
  <c r="B15" i="2"/>
  <c r="A36" i="2"/>
  <c r="A15" i="2"/>
  <c r="F43" i="1"/>
  <c r="H43" i="1" s="1"/>
  <c r="F42" i="1"/>
  <c r="J42" i="1" s="1"/>
  <c r="F41" i="1"/>
  <c r="H41" i="1" s="1"/>
  <c r="F40" i="1"/>
  <c r="G87" i="1"/>
  <c r="G86" i="1"/>
  <c r="F11" i="1"/>
  <c r="F25" i="1"/>
  <c r="F57" i="1"/>
  <c r="H57" i="1" s="1"/>
  <c r="F88" i="1"/>
  <c r="J88" i="1"/>
  <c r="F87" i="1"/>
  <c r="J87" i="1" s="1"/>
  <c r="F117" i="1"/>
  <c r="H117" i="1" s="1"/>
  <c r="H115" i="1"/>
  <c r="F114" i="1"/>
  <c r="H114" i="1" s="1"/>
  <c r="F130" i="1"/>
  <c r="F147" i="1"/>
  <c r="F144" i="1"/>
  <c r="F157" i="1" s="1"/>
  <c r="M194" i="1"/>
  <c r="I194" i="1"/>
  <c r="G194" i="1"/>
  <c r="F194" i="1"/>
  <c r="J194" i="1" s="1"/>
  <c r="H194" i="1"/>
  <c r="E194" i="1"/>
  <c r="M179" i="1"/>
  <c r="I179" i="1"/>
  <c r="G179" i="1"/>
  <c r="H179" i="1"/>
  <c r="F179" i="1"/>
  <c r="J179" i="1" s="1"/>
  <c r="E179" i="1"/>
  <c r="M164" i="1"/>
  <c r="I164" i="1"/>
  <c r="G164" i="1"/>
  <c r="F164" i="1"/>
  <c r="H164" i="1" s="1"/>
  <c r="J164" i="1"/>
  <c r="E164" i="1"/>
  <c r="M149" i="1"/>
  <c r="I149" i="1"/>
  <c r="G149" i="1"/>
  <c r="F149" i="1"/>
  <c r="J149" i="1" s="1"/>
  <c r="E149" i="1"/>
  <c r="M134" i="1"/>
  <c r="I134" i="1"/>
  <c r="G134" i="1"/>
  <c r="H134" i="1"/>
  <c r="E134" i="1"/>
  <c r="M119" i="1"/>
  <c r="I119" i="1"/>
  <c r="G119" i="1"/>
  <c r="E119" i="1"/>
  <c r="M104" i="1"/>
  <c r="I104" i="1"/>
  <c r="G104" i="1"/>
  <c r="F104" i="1"/>
  <c r="H104" i="1" s="1"/>
  <c r="E104" i="1"/>
  <c r="M89" i="1"/>
  <c r="I89" i="1"/>
  <c r="G89" i="1"/>
  <c r="H89" i="1" s="1"/>
  <c r="F89" i="1"/>
  <c r="J89" i="1" s="1"/>
  <c r="E89" i="1"/>
  <c r="M74" i="1"/>
  <c r="I74" i="1"/>
  <c r="G74" i="1"/>
  <c r="F74" i="1"/>
  <c r="J74" i="1" s="1"/>
  <c r="E74" i="1"/>
  <c r="M59" i="1"/>
  <c r="I59" i="1"/>
  <c r="G59" i="1"/>
  <c r="H59" i="1" s="1"/>
  <c r="F59" i="1"/>
  <c r="J59" i="1" s="1"/>
  <c r="E59" i="1"/>
  <c r="M44" i="1"/>
  <c r="I44" i="1"/>
  <c r="G44" i="1"/>
  <c r="G52" i="1" s="1"/>
  <c r="H44" i="1"/>
  <c r="F44" i="1"/>
  <c r="J44" i="1"/>
  <c r="E44" i="1"/>
  <c r="M29" i="1"/>
  <c r="I29" i="1"/>
  <c r="G29" i="1"/>
  <c r="F29" i="1"/>
  <c r="J29" i="1" s="1"/>
  <c r="E29" i="1"/>
  <c r="M14" i="1"/>
  <c r="I14" i="1"/>
  <c r="G14" i="1"/>
  <c r="F14" i="1"/>
  <c r="H14" i="1" s="1"/>
  <c r="E14" i="1"/>
  <c r="B194" i="1"/>
  <c r="B179" i="1"/>
  <c r="B164" i="1"/>
  <c r="B149" i="1"/>
  <c r="B134" i="1"/>
  <c r="B119" i="1"/>
  <c r="B104" i="1"/>
  <c r="B89" i="1"/>
  <c r="B74" i="1"/>
  <c r="B59" i="1"/>
  <c r="B44" i="1"/>
  <c r="B29" i="1"/>
  <c r="B14" i="1"/>
  <c r="G207" i="4"/>
  <c r="H207" i="4" s="1"/>
  <c r="F194" i="4"/>
  <c r="G194" i="4"/>
  <c r="H194" i="4" s="1"/>
  <c r="F179" i="4"/>
  <c r="G179" i="4"/>
  <c r="H179" i="4"/>
  <c r="F164" i="4"/>
  <c r="G164" i="4"/>
  <c r="H164" i="4" s="1"/>
  <c r="F149" i="4"/>
  <c r="G149" i="4"/>
  <c r="H149" i="4" s="1"/>
  <c r="F134" i="4"/>
  <c r="G134" i="4"/>
  <c r="H134" i="4" s="1"/>
  <c r="F119" i="4"/>
  <c r="G119" i="4"/>
  <c r="H119" i="4"/>
  <c r="F104" i="4"/>
  <c r="G104" i="4"/>
  <c r="H104" i="4" s="1"/>
  <c r="F89" i="4"/>
  <c r="G89" i="4"/>
  <c r="H89" i="4" s="1"/>
  <c r="F74" i="4"/>
  <c r="G74" i="4"/>
  <c r="H74" i="4" s="1"/>
  <c r="F59" i="4"/>
  <c r="G59" i="4"/>
  <c r="H59" i="4"/>
  <c r="F44" i="4"/>
  <c r="G44" i="4"/>
  <c r="H44" i="4" s="1"/>
  <c r="F29" i="4"/>
  <c r="G29" i="4"/>
  <c r="H29" i="4" s="1"/>
  <c r="F14" i="4"/>
  <c r="G14" i="4"/>
  <c r="H14" i="4" s="1"/>
  <c r="B194" i="4"/>
  <c r="B179" i="4"/>
  <c r="B164" i="4"/>
  <c r="B149" i="4"/>
  <c r="B134" i="4"/>
  <c r="B119" i="4"/>
  <c r="B104" i="4"/>
  <c r="B89" i="4"/>
  <c r="B74" i="4"/>
  <c r="B59" i="4"/>
  <c r="B44" i="4"/>
  <c r="B29" i="4"/>
  <c r="B14" i="4"/>
  <c r="F193" i="3"/>
  <c r="G193" i="3"/>
  <c r="F178" i="3"/>
  <c r="G178" i="3"/>
  <c r="F163" i="3"/>
  <c r="G163" i="3"/>
  <c r="F148" i="3"/>
  <c r="G148" i="3"/>
  <c r="F133" i="3"/>
  <c r="G133" i="3"/>
  <c r="F118" i="3"/>
  <c r="G118" i="3"/>
  <c r="F103" i="3"/>
  <c r="G103" i="3"/>
  <c r="F88" i="3"/>
  <c r="G88" i="3"/>
  <c r="F73" i="3"/>
  <c r="G73" i="3"/>
  <c r="F58" i="3"/>
  <c r="G58" i="3"/>
  <c r="F43" i="3"/>
  <c r="G43" i="3"/>
  <c r="F28" i="3"/>
  <c r="G28" i="3"/>
  <c r="F13" i="3"/>
  <c r="G13" i="3"/>
  <c r="B193" i="3"/>
  <c r="B178" i="3"/>
  <c r="B163" i="3"/>
  <c r="B148" i="3"/>
  <c r="B133" i="3"/>
  <c r="B118" i="3"/>
  <c r="B103" i="3"/>
  <c r="B88" i="3"/>
  <c r="B73" i="3"/>
  <c r="B58" i="3"/>
  <c r="B43" i="3"/>
  <c r="B28" i="3"/>
  <c r="B13" i="3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O35" i="2" s="1"/>
  <c r="N14" i="2"/>
  <c r="M14" i="2"/>
  <c r="L14" i="2"/>
  <c r="K14" i="2"/>
  <c r="J14" i="2"/>
  <c r="I14" i="2"/>
  <c r="H14" i="2"/>
  <c r="G14" i="2"/>
  <c r="F14" i="2"/>
  <c r="E14" i="2"/>
  <c r="D14" i="2"/>
  <c r="C14" i="2"/>
  <c r="O14" i="2" s="1"/>
  <c r="B14" i="2"/>
  <c r="A35" i="2"/>
  <c r="A14" i="2"/>
  <c r="E206" i="1"/>
  <c r="M193" i="1"/>
  <c r="I193" i="1"/>
  <c r="G193" i="1"/>
  <c r="F193" i="1"/>
  <c r="H193" i="1" s="1"/>
  <c r="J193" i="1"/>
  <c r="E193" i="1"/>
  <c r="M178" i="1"/>
  <c r="I178" i="1"/>
  <c r="G178" i="1"/>
  <c r="F178" i="1"/>
  <c r="J178" i="1" s="1"/>
  <c r="E178" i="1"/>
  <c r="M163" i="1"/>
  <c r="I163" i="1"/>
  <c r="J163" i="1"/>
  <c r="G163" i="1"/>
  <c r="F163" i="1"/>
  <c r="H163" i="1" s="1"/>
  <c r="E163" i="1"/>
  <c r="M148" i="1"/>
  <c r="I148" i="1"/>
  <c r="G148" i="1"/>
  <c r="H148" i="1"/>
  <c r="E148" i="1"/>
  <c r="M133" i="1"/>
  <c r="I133" i="1"/>
  <c r="G133" i="1"/>
  <c r="F133" i="1"/>
  <c r="J133" i="1" s="1"/>
  <c r="E133" i="1"/>
  <c r="M118" i="1"/>
  <c r="I118" i="1"/>
  <c r="G118" i="1"/>
  <c r="J118" i="1"/>
  <c r="E118" i="1"/>
  <c r="M103" i="1"/>
  <c r="I103" i="1"/>
  <c r="G103" i="1"/>
  <c r="H103" i="1"/>
  <c r="F103" i="1"/>
  <c r="J103" i="1" s="1"/>
  <c r="E103" i="1"/>
  <c r="M88" i="1"/>
  <c r="I88" i="1"/>
  <c r="G88" i="1"/>
  <c r="E88" i="1"/>
  <c r="M73" i="1"/>
  <c r="I73" i="1"/>
  <c r="G73" i="1"/>
  <c r="F73" i="1"/>
  <c r="H73" i="1" s="1"/>
  <c r="E73" i="1"/>
  <c r="M58" i="1"/>
  <c r="I58" i="1"/>
  <c r="G58" i="1"/>
  <c r="F58" i="1"/>
  <c r="H58" i="1" s="1"/>
  <c r="E58" i="1"/>
  <c r="M43" i="1"/>
  <c r="I43" i="1"/>
  <c r="G43" i="1"/>
  <c r="E43" i="1"/>
  <c r="M28" i="1"/>
  <c r="I28" i="1"/>
  <c r="G28" i="1"/>
  <c r="H28" i="1"/>
  <c r="F28" i="1"/>
  <c r="J28" i="1" s="1"/>
  <c r="E28" i="1"/>
  <c r="M13" i="1"/>
  <c r="I13" i="1"/>
  <c r="G13" i="1"/>
  <c r="F13" i="1"/>
  <c r="E13" i="1"/>
  <c r="B193" i="1"/>
  <c r="B178" i="1"/>
  <c r="B163" i="1"/>
  <c r="B148" i="1"/>
  <c r="B133" i="1"/>
  <c r="B118" i="1"/>
  <c r="B103" i="1"/>
  <c r="B88" i="1"/>
  <c r="B73" i="1"/>
  <c r="B58" i="1"/>
  <c r="B43" i="1"/>
  <c r="B28" i="1"/>
  <c r="B13" i="1"/>
  <c r="F193" i="4"/>
  <c r="G193" i="4"/>
  <c r="H193" i="4" s="1"/>
  <c r="F178" i="4"/>
  <c r="G178" i="4"/>
  <c r="H178" i="4"/>
  <c r="F163" i="4"/>
  <c r="G163" i="4"/>
  <c r="H163" i="4"/>
  <c r="F148" i="4"/>
  <c r="G148" i="4"/>
  <c r="H148" i="4" s="1"/>
  <c r="F133" i="4"/>
  <c r="G133" i="4"/>
  <c r="H133" i="4" s="1"/>
  <c r="F118" i="4"/>
  <c r="G118" i="4"/>
  <c r="H118" i="4"/>
  <c r="F103" i="4"/>
  <c r="G103" i="4"/>
  <c r="H103" i="4"/>
  <c r="F88" i="4"/>
  <c r="G88" i="4"/>
  <c r="H88" i="4" s="1"/>
  <c r="F73" i="4"/>
  <c r="G73" i="4"/>
  <c r="H73" i="4" s="1"/>
  <c r="F58" i="4"/>
  <c r="G58" i="4"/>
  <c r="H58" i="4"/>
  <c r="F43" i="4"/>
  <c r="G43" i="4"/>
  <c r="H43" i="4"/>
  <c r="F28" i="4"/>
  <c r="G28" i="4"/>
  <c r="H28" i="4" s="1"/>
  <c r="G13" i="4"/>
  <c r="H13" i="4" s="1"/>
  <c r="F13" i="4"/>
  <c r="B193" i="4"/>
  <c r="B178" i="4"/>
  <c r="B163" i="4"/>
  <c r="B148" i="4"/>
  <c r="B133" i="4"/>
  <c r="B118" i="4"/>
  <c r="B103" i="4"/>
  <c r="B88" i="4"/>
  <c r="B73" i="4"/>
  <c r="B58" i="4"/>
  <c r="B43" i="4"/>
  <c r="B28" i="4"/>
  <c r="B13" i="4"/>
  <c r="F192" i="3"/>
  <c r="G192" i="3"/>
  <c r="F177" i="3"/>
  <c r="G177" i="3"/>
  <c r="F162" i="3"/>
  <c r="G162" i="3"/>
  <c r="F147" i="3"/>
  <c r="G147" i="3"/>
  <c r="F132" i="3"/>
  <c r="G132" i="3"/>
  <c r="F117" i="3"/>
  <c r="G117" i="3"/>
  <c r="F102" i="3"/>
  <c r="G102" i="3"/>
  <c r="F87" i="3"/>
  <c r="G87" i="3"/>
  <c r="F72" i="3"/>
  <c r="G72" i="3"/>
  <c r="F57" i="3"/>
  <c r="G57" i="3"/>
  <c r="F42" i="3"/>
  <c r="G42" i="3"/>
  <c r="G12" i="3"/>
  <c r="F12" i="3"/>
  <c r="F27" i="3"/>
  <c r="G27" i="3"/>
  <c r="B192" i="3"/>
  <c r="B177" i="3"/>
  <c r="B162" i="3"/>
  <c r="B147" i="3"/>
  <c r="B132" i="3"/>
  <c r="B117" i="3"/>
  <c r="B102" i="3"/>
  <c r="B87" i="3"/>
  <c r="B72" i="3"/>
  <c r="B57" i="3"/>
  <c r="B42" i="3"/>
  <c r="B27" i="3"/>
  <c r="B12" i="3"/>
  <c r="N34" i="2"/>
  <c r="M34" i="2"/>
  <c r="L34" i="2"/>
  <c r="K34" i="2"/>
  <c r="J34" i="2"/>
  <c r="I34" i="2"/>
  <c r="O34" i="2" s="1"/>
  <c r="H34" i="2"/>
  <c r="G34" i="2"/>
  <c r="F34" i="2"/>
  <c r="E34" i="2"/>
  <c r="D34" i="2"/>
  <c r="C34" i="2"/>
  <c r="B34" i="2"/>
  <c r="B33" i="2"/>
  <c r="N13" i="2"/>
  <c r="M13" i="2"/>
  <c r="L13" i="2"/>
  <c r="L23" i="2" s="1"/>
  <c r="K13" i="2"/>
  <c r="K23" i="2" s="1"/>
  <c r="J13" i="2"/>
  <c r="I13" i="2"/>
  <c r="H13" i="2"/>
  <c r="G13" i="2"/>
  <c r="F13" i="2"/>
  <c r="E13" i="2"/>
  <c r="D13" i="2"/>
  <c r="C13" i="2"/>
  <c r="B13" i="2"/>
  <c r="O13" i="2" s="1"/>
  <c r="A34" i="2"/>
  <c r="A13" i="2"/>
  <c r="M192" i="1"/>
  <c r="I192" i="1"/>
  <c r="G192" i="1"/>
  <c r="F192" i="1"/>
  <c r="J192" i="1" s="1"/>
  <c r="E192" i="1"/>
  <c r="M177" i="1"/>
  <c r="I177" i="1"/>
  <c r="J177" i="1"/>
  <c r="G177" i="1"/>
  <c r="G187" i="1" s="1"/>
  <c r="F177" i="1"/>
  <c r="F187" i="1" s="1"/>
  <c r="E177" i="1"/>
  <c r="M162" i="1"/>
  <c r="I162" i="1"/>
  <c r="J162" i="1"/>
  <c r="G162" i="1"/>
  <c r="H162" i="1" s="1"/>
  <c r="F162" i="1"/>
  <c r="E162" i="1"/>
  <c r="M147" i="1"/>
  <c r="I147" i="1"/>
  <c r="G147" i="1"/>
  <c r="E147" i="1"/>
  <c r="M132" i="1"/>
  <c r="I132" i="1"/>
  <c r="J132" i="1"/>
  <c r="G132" i="1"/>
  <c r="F132" i="1"/>
  <c r="H132" i="1" s="1"/>
  <c r="E132" i="1"/>
  <c r="M117" i="1"/>
  <c r="I117" i="1"/>
  <c r="J117" i="1"/>
  <c r="E117" i="1"/>
  <c r="M102" i="1"/>
  <c r="I102" i="1"/>
  <c r="G102" i="1"/>
  <c r="F102" i="1"/>
  <c r="J102" i="1" s="1"/>
  <c r="E102" i="1"/>
  <c r="M87" i="1"/>
  <c r="I87" i="1"/>
  <c r="H87" i="1"/>
  <c r="E87" i="1"/>
  <c r="M72" i="1"/>
  <c r="I72" i="1"/>
  <c r="G72" i="1"/>
  <c r="F72" i="1"/>
  <c r="E72" i="1"/>
  <c r="M57" i="1"/>
  <c r="I57" i="1"/>
  <c r="G57" i="1"/>
  <c r="J57" i="1"/>
  <c r="E57" i="1"/>
  <c r="H42" i="1"/>
  <c r="M42" i="1"/>
  <c r="I42" i="1"/>
  <c r="G42" i="1"/>
  <c r="E42" i="1"/>
  <c r="M27" i="1"/>
  <c r="I27" i="1"/>
  <c r="J27" i="1"/>
  <c r="G27" i="1"/>
  <c r="F27" i="1"/>
  <c r="H27" i="1"/>
  <c r="E27" i="1"/>
  <c r="M12" i="1"/>
  <c r="I12" i="1"/>
  <c r="H12" i="1"/>
  <c r="E12" i="1"/>
  <c r="G12" i="1"/>
  <c r="F12" i="1"/>
  <c r="J12" i="1" s="1"/>
  <c r="B192" i="1"/>
  <c r="B177" i="1"/>
  <c r="B162" i="1"/>
  <c r="B147" i="1"/>
  <c r="B132" i="1"/>
  <c r="B117" i="1"/>
  <c r="B102" i="1"/>
  <c r="B87" i="1"/>
  <c r="B72" i="1"/>
  <c r="B57" i="1"/>
  <c r="B42" i="1"/>
  <c r="B27" i="1"/>
  <c r="B12" i="1"/>
  <c r="G12" i="4"/>
  <c r="H12" i="4" s="1"/>
  <c r="F12" i="4"/>
  <c r="G27" i="4"/>
  <c r="H27" i="4"/>
  <c r="F27" i="4"/>
  <c r="G42" i="4"/>
  <c r="H42" i="4" s="1"/>
  <c r="F42" i="4"/>
  <c r="G57" i="4"/>
  <c r="H57" i="4" s="1"/>
  <c r="F57" i="4"/>
  <c r="G72" i="4"/>
  <c r="H72" i="4" s="1"/>
  <c r="F72" i="4"/>
  <c r="G87" i="4"/>
  <c r="H87" i="4"/>
  <c r="F87" i="4"/>
  <c r="G102" i="4"/>
  <c r="H102" i="4" s="1"/>
  <c r="F102" i="4"/>
  <c r="G117" i="4"/>
  <c r="H117" i="4" s="1"/>
  <c r="F117" i="4"/>
  <c r="G132" i="4"/>
  <c r="H132" i="4" s="1"/>
  <c r="F132" i="4"/>
  <c r="G147" i="4"/>
  <c r="H147" i="4"/>
  <c r="F147" i="4"/>
  <c r="G162" i="4"/>
  <c r="H162" i="4" s="1"/>
  <c r="F162" i="4"/>
  <c r="G177" i="4"/>
  <c r="H177" i="4" s="1"/>
  <c r="F177" i="4"/>
  <c r="G192" i="4"/>
  <c r="H192" i="4" s="1"/>
  <c r="F192" i="4"/>
  <c r="B192" i="4"/>
  <c r="B177" i="4"/>
  <c r="B162" i="4"/>
  <c r="B147" i="4"/>
  <c r="B132" i="4"/>
  <c r="B117" i="4"/>
  <c r="B102" i="4"/>
  <c r="B87" i="4"/>
  <c r="B72" i="4"/>
  <c r="B57" i="4"/>
  <c r="B42" i="4"/>
  <c r="B27" i="4"/>
  <c r="B12" i="4"/>
  <c r="G191" i="3"/>
  <c r="F191" i="3"/>
  <c r="G176" i="3"/>
  <c r="F176" i="3"/>
  <c r="G161" i="3"/>
  <c r="F161" i="3"/>
  <c r="G146" i="3"/>
  <c r="F146" i="3"/>
  <c r="G131" i="3"/>
  <c r="F131" i="3"/>
  <c r="G116" i="3"/>
  <c r="F116" i="3"/>
  <c r="G101" i="3"/>
  <c r="F101" i="3"/>
  <c r="G86" i="3"/>
  <c r="F86" i="3"/>
  <c r="G71" i="3"/>
  <c r="F71" i="3"/>
  <c r="G56" i="3"/>
  <c r="F56" i="3"/>
  <c r="G41" i="3"/>
  <c r="F41" i="3"/>
  <c r="G26" i="3"/>
  <c r="F26" i="3"/>
  <c r="G11" i="3"/>
  <c r="F11" i="3"/>
  <c r="B191" i="3"/>
  <c r="B176" i="3"/>
  <c r="B161" i="3"/>
  <c r="B146" i="3"/>
  <c r="B131" i="3"/>
  <c r="B116" i="3"/>
  <c r="B101" i="3"/>
  <c r="B86" i="3"/>
  <c r="B71" i="3"/>
  <c r="B56" i="3"/>
  <c r="B41" i="3"/>
  <c r="B26" i="3"/>
  <c r="B11" i="3"/>
  <c r="N33" i="2"/>
  <c r="M33" i="2"/>
  <c r="L33" i="2"/>
  <c r="K33" i="2"/>
  <c r="J33" i="2"/>
  <c r="I33" i="2"/>
  <c r="H33" i="2"/>
  <c r="G33" i="2"/>
  <c r="F33" i="2"/>
  <c r="E33" i="2"/>
  <c r="O33" i="2" s="1"/>
  <c r="D33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O12" i="2" s="1"/>
  <c r="A33" i="2"/>
  <c r="A12" i="2"/>
  <c r="M191" i="1"/>
  <c r="I191" i="1"/>
  <c r="E191" i="1"/>
  <c r="G191" i="1"/>
  <c r="F191" i="1"/>
  <c r="M176" i="1"/>
  <c r="I176" i="1"/>
  <c r="H176" i="1"/>
  <c r="E176" i="1"/>
  <c r="G176" i="1"/>
  <c r="F176" i="1"/>
  <c r="J176" i="1" s="1"/>
  <c r="M161" i="1"/>
  <c r="I161" i="1"/>
  <c r="E161" i="1"/>
  <c r="G161" i="1"/>
  <c r="F161" i="1"/>
  <c r="J161" i="1" s="1"/>
  <c r="M146" i="1"/>
  <c r="J146" i="1"/>
  <c r="I146" i="1"/>
  <c r="E146" i="1"/>
  <c r="G146" i="1"/>
  <c r="F146" i="1"/>
  <c r="M131" i="1"/>
  <c r="I131" i="1"/>
  <c r="E131" i="1"/>
  <c r="G131" i="1"/>
  <c r="F131" i="1"/>
  <c r="H131" i="1" s="1"/>
  <c r="M116" i="1"/>
  <c r="I116" i="1"/>
  <c r="E116" i="1"/>
  <c r="H116" i="1"/>
  <c r="M101" i="1"/>
  <c r="I101" i="1"/>
  <c r="E101" i="1"/>
  <c r="G101" i="1"/>
  <c r="F101" i="1"/>
  <c r="J101" i="1" s="1"/>
  <c r="M86" i="1"/>
  <c r="I86" i="1"/>
  <c r="E86" i="1"/>
  <c r="F86" i="1"/>
  <c r="J86" i="1"/>
  <c r="M71" i="1"/>
  <c r="I71" i="1"/>
  <c r="E71" i="1"/>
  <c r="G71" i="1"/>
  <c r="F71" i="1"/>
  <c r="J71" i="1" s="1"/>
  <c r="M56" i="1"/>
  <c r="I56" i="1"/>
  <c r="E56" i="1"/>
  <c r="G56" i="1"/>
  <c r="G67" i="1" s="1"/>
  <c r="F56" i="1"/>
  <c r="H56" i="1" s="1"/>
  <c r="J56" i="1"/>
  <c r="M41" i="1"/>
  <c r="J41" i="1"/>
  <c r="I41" i="1"/>
  <c r="E41" i="1"/>
  <c r="G41" i="1"/>
  <c r="M26" i="1"/>
  <c r="I26" i="1"/>
  <c r="E26" i="1"/>
  <c r="G26" i="1"/>
  <c r="F26" i="1"/>
  <c r="H26" i="1" s="1"/>
  <c r="J26" i="1"/>
  <c r="M11" i="1"/>
  <c r="I11" i="1"/>
  <c r="E11" i="1"/>
  <c r="G11" i="1"/>
  <c r="B191" i="1"/>
  <c r="B176" i="1"/>
  <c r="B161" i="1"/>
  <c r="B146" i="1"/>
  <c r="B131" i="1"/>
  <c r="B116" i="1"/>
  <c r="B101" i="1"/>
  <c r="B86" i="1"/>
  <c r="B71" i="1"/>
  <c r="B56" i="1"/>
  <c r="B41" i="1"/>
  <c r="B26" i="1"/>
  <c r="B11" i="1"/>
  <c r="G191" i="4"/>
  <c r="H191" i="4" s="1"/>
  <c r="F191" i="4"/>
  <c r="G176" i="4"/>
  <c r="H176" i="4"/>
  <c r="F176" i="4"/>
  <c r="G161" i="4"/>
  <c r="H161" i="4" s="1"/>
  <c r="F161" i="4"/>
  <c r="G146" i="4"/>
  <c r="H146" i="4" s="1"/>
  <c r="F146" i="4"/>
  <c r="G131" i="4"/>
  <c r="H131" i="4" s="1"/>
  <c r="F131" i="4"/>
  <c r="G116" i="4"/>
  <c r="H116" i="4"/>
  <c r="F116" i="4"/>
  <c r="G101" i="4"/>
  <c r="H101" i="4" s="1"/>
  <c r="F101" i="4"/>
  <c r="G86" i="4"/>
  <c r="H86" i="4" s="1"/>
  <c r="F86" i="4"/>
  <c r="G71" i="4"/>
  <c r="H71" i="4" s="1"/>
  <c r="F71" i="4"/>
  <c r="G56" i="4"/>
  <c r="H56" i="4"/>
  <c r="F56" i="4"/>
  <c r="G41" i="4"/>
  <c r="H41" i="4"/>
  <c r="F41" i="4"/>
  <c r="G26" i="4"/>
  <c r="H26" i="4"/>
  <c r="F26" i="4"/>
  <c r="G11" i="4"/>
  <c r="H11" i="4" s="1"/>
  <c r="F11" i="4"/>
  <c r="B191" i="4"/>
  <c r="B176" i="4"/>
  <c r="B161" i="4"/>
  <c r="B146" i="4"/>
  <c r="B131" i="4"/>
  <c r="B116" i="4"/>
  <c r="B101" i="4"/>
  <c r="B86" i="4"/>
  <c r="B71" i="4"/>
  <c r="B56" i="4"/>
  <c r="B41" i="4"/>
  <c r="B26" i="4"/>
  <c r="B11" i="4"/>
  <c r="G190" i="3"/>
  <c r="F190" i="3"/>
  <c r="G175" i="3"/>
  <c r="F175" i="3"/>
  <c r="G160" i="3"/>
  <c r="F160" i="3"/>
  <c r="G145" i="3"/>
  <c r="F145" i="3"/>
  <c r="G130" i="3"/>
  <c r="F130" i="3"/>
  <c r="G115" i="3"/>
  <c r="F115" i="3"/>
  <c r="G100" i="3"/>
  <c r="F100" i="3"/>
  <c r="G85" i="3"/>
  <c r="F85" i="3"/>
  <c r="G70" i="3"/>
  <c r="F70" i="3"/>
  <c r="G55" i="3"/>
  <c r="F55" i="3"/>
  <c r="G40" i="3"/>
  <c r="F40" i="3"/>
  <c r="G25" i="3"/>
  <c r="F25" i="3"/>
  <c r="G10" i="3"/>
  <c r="F10" i="3"/>
  <c r="B190" i="3"/>
  <c r="B175" i="3"/>
  <c r="B160" i="3"/>
  <c r="B145" i="3"/>
  <c r="B130" i="3"/>
  <c r="B115" i="3"/>
  <c r="B100" i="3"/>
  <c r="B85" i="3"/>
  <c r="B70" i="3"/>
  <c r="B55" i="3"/>
  <c r="B40" i="3"/>
  <c r="B25" i="3"/>
  <c r="B10" i="3"/>
  <c r="N32" i="2"/>
  <c r="M32" i="2"/>
  <c r="L32" i="2"/>
  <c r="K32" i="2"/>
  <c r="J32" i="2"/>
  <c r="I32" i="2"/>
  <c r="I44" i="2" s="1"/>
  <c r="H32" i="2"/>
  <c r="H44" i="2" s="1"/>
  <c r="G32" i="2"/>
  <c r="F32" i="2"/>
  <c r="E32" i="2"/>
  <c r="E44" i="2" s="1"/>
  <c r="D32" i="2"/>
  <c r="C32" i="2"/>
  <c r="B32" i="2"/>
  <c r="O32" i="2" s="1"/>
  <c r="N11" i="2"/>
  <c r="M11" i="2"/>
  <c r="L11" i="2"/>
  <c r="K11" i="2"/>
  <c r="J11" i="2"/>
  <c r="I11" i="2"/>
  <c r="H11" i="2"/>
  <c r="G11" i="2"/>
  <c r="F11" i="2"/>
  <c r="E11" i="2"/>
  <c r="E23" i="2" s="1"/>
  <c r="D11" i="2"/>
  <c r="C11" i="2"/>
  <c r="B11" i="2"/>
  <c r="A32" i="2"/>
  <c r="A11" i="2"/>
  <c r="F39" i="1"/>
  <c r="M190" i="1"/>
  <c r="I190" i="1"/>
  <c r="E190" i="1"/>
  <c r="G190" i="1"/>
  <c r="G202" i="1"/>
  <c r="F190" i="1"/>
  <c r="H190" i="1" s="1"/>
  <c r="M175" i="1"/>
  <c r="J175" i="1"/>
  <c r="I175" i="1"/>
  <c r="E175" i="1"/>
  <c r="G175" i="1"/>
  <c r="M160" i="1"/>
  <c r="I160" i="1"/>
  <c r="E160" i="1"/>
  <c r="G160" i="1"/>
  <c r="G172" i="1" s="1"/>
  <c r="F160" i="1"/>
  <c r="F172" i="1" s="1"/>
  <c r="M145" i="1"/>
  <c r="I145" i="1"/>
  <c r="E145" i="1"/>
  <c r="G145" i="1"/>
  <c r="F145" i="1"/>
  <c r="H145" i="1"/>
  <c r="M130" i="1"/>
  <c r="I130" i="1"/>
  <c r="E130" i="1"/>
  <c r="G130" i="1"/>
  <c r="H130" i="1" s="1"/>
  <c r="J130" i="1"/>
  <c r="M115" i="1"/>
  <c r="I115" i="1"/>
  <c r="E115" i="1"/>
  <c r="M100" i="1"/>
  <c r="J100" i="1"/>
  <c r="I100" i="1"/>
  <c r="E100" i="1"/>
  <c r="G100" i="1"/>
  <c r="F100" i="1"/>
  <c r="H100" i="1"/>
  <c r="M85" i="1"/>
  <c r="I85" i="1"/>
  <c r="E85" i="1"/>
  <c r="G85" i="1"/>
  <c r="G97" i="1" s="1"/>
  <c r="F85" i="1"/>
  <c r="J85" i="1" s="1"/>
  <c r="M70" i="1"/>
  <c r="I70" i="1"/>
  <c r="E70" i="1"/>
  <c r="G70" i="1"/>
  <c r="H70" i="1" s="1"/>
  <c r="F70" i="1"/>
  <c r="J70" i="1"/>
  <c r="M55" i="1"/>
  <c r="J55" i="1"/>
  <c r="I55" i="1"/>
  <c r="H55" i="1"/>
  <c r="E55" i="1"/>
  <c r="G55" i="1"/>
  <c r="F55" i="1"/>
  <c r="M40" i="1"/>
  <c r="I40" i="1"/>
  <c r="E40" i="1"/>
  <c r="G40" i="1"/>
  <c r="H40" i="1"/>
  <c r="J40" i="1"/>
  <c r="M25" i="1"/>
  <c r="I25" i="1"/>
  <c r="H25" i="1"/>
  <c r="E25" i="1"/>
  <c r="G25" i="1"/>
  <c r="M10" i="1"/>
  <c r="I10" i="1"/>
  <c r="E10" i="1"/>
  <c r="G10" i="1"/>
  <c r="F10" i="1"/>
  <c r="B190" i="1"/>
  <c r="B175" i="1"/>
  <c r="B160" i="1"/>
  <c r="B145" i="1"/>
  <c r="B130" i="1"/>
  <c r="B115" i="1"/>
  <c r="B100" i="1"/>
  <c r="B85" i="1"/>
  <c r="B70" i="1"/>
  <c r="B55" i="1"/>
  <c r="B40" i="1"/>
  <c r="B25" i="1"/>
  <c r="B10" i="1"/>
  <c r="B190" i="4"/>
  <c r="B175" i="4"/>
  <c r="B160" i="4"/>
  <c r="B145" i="4"/>
  <c r="B130" i="4"/>
  <c r="B115" i="4"/>
  <c r="B100" i="4"/>
  <c r="B85" i="4"/>
  <c r="B70" i="4"/>
  <c r="B55" i="4"/>
  <c r="B40" i="4"/>
  <c r="B25" i="4"/>
  <c r="B10" i="4"/>
  <c r="B189" i="3"/>
  <c r="B174" i="3"/>
  <c r="B159" i="3"/>
  <c r="B144" i="3"/>
  <c r="B129" i="3"/>
  <c r="B114" i="3"/>
  <c r="B99" i="3"/>
  <c r="B84" i="3"/>
  <c r="B69" i="3"/>
  <c r="B54" i="3"/>
  <c r="B39" i="3"/>
  <c r="B24" i="3"/>
  <c r="B9" i="3"/>
  <c r="A10" i="2"/>
  <c r="A31" i="2"/>
  <c r="G189" i="1"/>
  <c r="F189" i="1"/>
  <c r="G174" i="1"/>
  <c r="G159" i="1"/>
  <c r="F159" i="1"/>
  <c r="G144" i="1"/>
  <c r="G157" i="1" s="1"/>
  <c r="H144" i="1"/>
  <c r="G129" i="1"/>
  <c r="G142" i="1"/>
  <c r="F129" i="1"/>
  <c r="J129" i="1" s="1"/>
  <c r="G114" i="1"/>
  <c r="G127" i="1" s="1"/>
  <c r="G99" i="1"/>
  <c r="G112" i="1" s="1"/>
  <c r="F99" i="1"/>
  <c r="F112" i="1" s="1"/>
  <c r="H112" i="1" s="1"/>
  <c r="G84" i="1"/>
  <c r="F84" i="1"/>
  <c r="H84" i="1" s="1"/>
  <c r="J84" i="1"/>
  <c r="G69" i="1"/>
  <c r="G82" i="1"/>
  <c r="F69" i="1"/>
  <c r="J69" i="1" s="1"/>
  <c r="G54" i="1"/>
  <c r="F54" i="1"/>
  <c r="F67" i="1" s="1"/>
  <c r="H67" i="1" s="1"/>
  <c r="H54" i="1"/>
  <c r="G39" i="1"/>
  <c r="G24" i="1"/>
  <c r="F37" i="1"/>
  <c r="H37" i="1" s="1"/>
  <c r="G9" i="1"/>
  <c r="G22" i="1" s="1"/>
  <c r="F9" i="1"/>
  <c r="J9" i="1" s="1"/>
  <c r="B189" i="1"/>
  <c r="B174" i="1"/>
  <c r="B159" i="1"/>
  <c r="B144" i="1"/>
  <c r="B129" i="1"/>
  <c r="B99" i="1"/>
  <c r="B114" i="1"/>
  <c r="B84" i="1"/>
  <c r="B69" i="1"/>
  <c r="B54" i="1"/>
  <c r="B39" i="1"/>
  <c r="B24" i="1"/>
  <c r="B9" i="1"/>
  <c r="J189" i="1"/>
  <c r="L67" i="1"/>
  <c r="F85" i="4"/>
  <c r="F84" i="3"/>
  <c r="M84" i="1"/>
  <c r="E84" i="1"/>
  <c r="F190" i="4"/>
  <c r="F189" i="3"/>
  <c r="G31" i="2"/>
  <c r="G10" i="2"/>
  <c r="G23" i="2" s="1"/>
  <c r="M189" i="1"/>
  <c r="E189" i="1"/>
  <c r="E98" i="4"/>
  <c r="D98" i="4"/>
  <c r="C98" i="4"/>
  <c r="G98" i="4" s="1"/>
  <c r="H98" i="4" s="1"/>
  <c r="G85" i="4"/>
  <c r="H85" i="4"/>
  <c r="E97" i="3"/>
  <c r="F97" i="3" s="1"/>
  <c r="D97" i="3"/>
  <c r="C97" i="3"/>
  <c r="G97" i="3" s="1"/>
  <c r="G84" i="3"/>
  <c r="L97" i="1"/>
  <c r="D97" i="1"/>
  <c r="C97" i="1"/>
  <c r="E97" i="1" s="1"/>
  <c r="I84" i="1"/>
  <c r="G190" i="4"/>
  <c r="H190" i="4"/>
  <c r="G189" i="3"/>
  <c r="I189" i="1"/>
  <c r="D22" i="1"/>
  <c r="D37" i="1"/>
  <c r="D52" i="1"/>
  <c r="D67" i="1"/>
  <c r="D82" i="1"/>
  <c r="D204" i="1" s="1"/>
  <c r="D112" i="1"/>
  <c r="D127" i="1"/>
  <c r="D142" i="1"/>
  <c r="D157" i="1"/>
  <c r="D172" i="1"/>
  <c r="D187" i="1"/>
  <c r="D202" i="1"/>
  <c r="C202" i="1"/>
  <c r="C203" i="4"/>
  <c r="D203" i="4"/>
  <c r="C202" i="3"/>
  <c r="D202" i="3"/>
  <c r="G202" i="3" s="1"/>
  <c r="E23" i="4"/>
  <c r="E38" i="4"/>
  <c r="E53" i="4"/>
  <c r="E68" i="4"/>
  <c r="E83" i="4"/>
  <c r="E113" i="4"/>
  <c r="E128" i="4"/>
  <c r="E143" i="4"/>
  <c r="E158" i="4"/>
  <c r="F158" i="4" s="1"/>
  <c r="E173" i="4"/>
  <c r="E188" i="4"/>
  <c r="E203" i="4"/>
  <c r="E205" i="4" s="1"/>
  <c r="D23" i="4"/>
  <c r="F23" i="4" s="1"/>
  <c r="D38" i="4"/>
  <c r="G38" i="4" s="1"/>
  <c r="H38" i="4" s="1"/>
  <c r="D53" i="4"/>
  <c r="D68" i="4"/>
  <c r="D83" i="4"/>
  <c r="G83" i="4" s="1"/>
  <c r="H83" i="4" s="1"/>
  <c r="D113" i="4"/>
  <c r="D128" i="4"/>
  <c r="G128" i="4" s="1"/>
  <c r="H128" i="4" s="1"/>
  <c r="D143" i="4"/>
  <c r="F143" i="4" s="1"/>
  <c r="D158" i="4"/>
  <c r="D173" i="4"/>
  <c r="D188" i="4"/>
  <c r="F188" i="4" s="1"/>
  <c r="C23" i="4"/>
  <c r="C38" i="4"/>
  <c r="C53" i="4"/>
  <c r="G53" i="4" s="1"/>
  <c r="H53" i="4" s="1"/>
  <c r="C68" i="4"/>
  <c r="G68" i="4" s="1"/>
  <c r="H68" i="4" s="1"/>
  <c r="C83" i="4"/>
  <c r="C113" i="4"/>
  <c r="C128" i="4"/>
  <c r="C143" i="4"/>
  <c r="G143" i="4"/>
  <c r="H143" i="4" s="1"/>
  <c r="C158" i="4"/>
  <c r="C173" i="4"/>
  <c r="G173" i="4"/>
  <c r="H173" i="4"/>
  <c r="C188" i="4"/>
  <c r="C205" i="4" s="1"/>
  <c r="G188" i="4"/>
  <c r="H188" i="4" s="1"/>
  <c r="F145" i="4"/>
  <c r="E22" i="3"/>
  <c r="E37" i="3"/>
  <c r="E52" i="3"/>
  <c r="E67" i="3"/>
  <c r="E82" i="3"/>
  <c r="E112" i="3"/>
  <c r="E127" i="3"/>
  <c r="F127" i="3" s="1"/>
  <c r="E142" i="3"/>
  <c r="F142" i="3" s="1"/>
  <c r="E157" i="3"/>
  <c r="F157" i="3" s="1"/>
  <c r="E172" i="3"/>
  <c r="E187" i="3"/>
  <c r="F187" i="3"/>
  <c r="E202" i="3"/>
  <c r="D22" i="3"/>
  <c r="G22" i="3" s="1"/>
  <c r="D37" i="3"/>
  <c r="D52" i="3"/>
  <c r="F52" i="3"/>
  <c r="D67" i="3"/>
  <c r="F67" i="3" s="1"/>
  <c r="D82" i="3"/>
  <c r="G82" i="3" s="1"/>
  <c r="D112" i="3"/>
  <c r="G112" i="3" s="1"/>
  <c r="D127" i="3"/>
  <c r="D142" i="3"/>
  <c r="D157" i="3"/>
  <c r="G157" i="3" s="1"/>
  <c r="D172" i="3"/>
  <c r="F172" i="3" s="1"/>
  <c r="D187" i="3"/>
  <c r="C22" i="3"/>
  <c r="C37" i="3"/>
  <c r="G37" i="3" s="1"/>
  <c r="C52" i="3"/>
  <c r="C204" i="3" s="1"/>
  <c r="C67" i="3"/>
  <c r="C82" i="3"/>
  <c r="C112" i="3"/>
  <c r="C127" i="3"/>
  <c r="G127" i="3" s="1"/>
  <c r="C142" i="3"/>
  <c r="G142" i="3" s="1"/>
  <c r="C157" i="3"/>
  <c r="C172" i="3"/>
  <c r="G172" i="3" s="1"/>
  <c r="C187" i="3"/>
  <c r="G187" i="3"/>
  <c r="F144" i="3"/>
  <c r="M144" i="1"/>
  <c r="E144" i="1"/>
  <c r="L22" i="1"/>
  <c r="L37" i="1"/>
  <c r="L52" i="1"/>
  <c r="L82" i="1"/>
  <c r="L112" i="1"/>
  <c r="L127" i="1"/>
  <c r="L142" i="1"/>
  <c r="L157" i="1"/>
  <c r="L172" i="1"/>
  <c r="L187" i="1"/>
  <c r="M187" i="1"/>
  <c r="K22" i="1"/>
  <c r="K37" i="1"/>
  <c r="M37" i="1"/>
  <c r="C22" i="1"/>
  <c r="C37" i="1"/>
  <c r="I37" i="1" s="1"/>
  <c r="C52" i="1"/>
  <c r="E52" i="1" s="1"/>
  <c r="C67" i="1"/>
  <c r="E67" i="1"/>
  <c r="C82" i="1"/>
  <c r="E82" i="1" s="1"/>
  <c r="C112" i="1"/>
  <c r="E112" i="1" s="1"/>
  <c r="C127" i="1"/>
  <c r="E127" i="1" s="1"/>
  <c r="C142" i="1"/>
  <c r="E142" i="1"/>
  <c r="C157" i="1"/>
  <c r="E157" i="1"/>
  <c r="C172" i="1"/>
  <c r="E172" i="1" s="1"/>
  <c r="C187" i="1"/>
  <c r="E187" i="1"/>
  <c r="E159" i="1"/>
  <c r="I159" i="1"/>
  <c r="M159" i="1"/>
  <c r="K157" i="1"/>
  <c r="M157" i="1" s="1"/>
  <c r="F175" i="4"/>
  <c r="K31" i="2"/>
  <c r="K44" i="2" s="1"/>
  <c r="K10" i="2"/>
  <c r="K67" i="1"/>
  <c r="K82" i="1"/>
  <c r="M82" i="1"/>
  <c r="K112" i="1"/>
  <c r="J112" i="1" s="1"/>
  <c r="K127" i="1"/>
  <c r="K142" i="1"/>
  <c r="M142" i="1"/>
  <c r="K187" i="1"/>
  <c r="I187" i="1" s="1"/>
  <c r="I144" i="1"/>
  <c r="G145" i="4"/>
  <c r="H145" i="4"/>
  <c r="G144" i="3"/>
  <c r="F115" i="4"/>
  <c r="F114" i="3"/>
  <c r="N31" i="2"/>
  <c r="M31" i="2"/>
  <c r="M44" i="2" s="1"/>
  <c r="L31" i="2"/>
  <c r="J31" i="2"/>
  <c r="J44" i="2" s="1"/>
  <c r="I31" i="2"/>
  <c r="H31" i="2"/>
  <c r="F31" i="2"/>
  <c r="E31" i="2"/>
  <c r="C31" i="2"/>
  <c r="C44" i="2" s="1"/>
  <c r="B31" i="2"/>
  <c r="O31" i="2" s="1"/>
  <c r="O44" i="2" s="1"/>
  <c r="M114" i="1"/>
  <c r="E114" i="1"/>
  <c r="I10" i="2"/>
  <c r="I23" i="2" s="1"/>
  <c r="G115" i="4"/>
  <c r="H115" i="4" s="1"/>
  <c r="G130" i="4"/>
  <c r="H130" i="4" s="1"/>
  <c r="F130" i="4"/>
  <c r="G114" i="3"/>
  <c r="I114" i="1"/>
  <c r="F10" i="4"/>
  <c r="G10" i="4"/>
  <c r="H10" i="4" s="1"/>
  <c r="I9" i="1"/>
  <c r="I24" i="1"/>
  <c r="I54" i="1"/>
  <c r="I69" i="1"/>
  <c r="I99" i="1"/>
  <c r="I129" i="1"/>
  <c r="I174" i="1"/>
  <c r="E9" i="1"/>
  <c r="M9" i="1"/>
  <c r="E24" i="1"/>
  <c r="M24" i="1"/>
  <c r="E39" i="1"/>
  <c r="E54" i="1"/>
  <c r="M54" i="1"/>
  <c r="E69" i="1"/>
  <c r="M69" i="1"/>
  <c r="E99" i="1"/>
  <c r="M99" i="1"/>
  <c r="E129" i="1"/>
  <c r="M129" i="1"/>
  <c r="E174" i="1"/>
  <c r="M174" i="1"/>
  <c r="F25" i="4"/>
  <c r="G25" i="4"/>
  <c r="H25" i="4"/>
  <c r="F40" i="4"/>
  <c r="G40" i="4"/>
  <c r="H40" i="4" s="1"/>
  <c r="F55" i="4"/>
  <c r="G55" i="4"/>
  <c r="H55" i="4" s="1"/>
  <c r="F70" i="4"/>
  <c r="G70" i="4"/>
  <c r="H70" i="4"/>
  <c r="F100" i="4"/>
  <c r="G100" i="4"/>
  <c r="H100" i="4"/>
  <c r="F160" i="4"/>
  <c r="G160" i="4"/>
  <c r="H160" i="4" s="1"/>
  <c r="G175" i="4"/>
  <c r="H175" i="4" s="1"/>
  <c r="F9" i="3"/>
  <c r="F24" i="3"/>
  <c r="G24" i="3"/>
  <c r="F39" i="3"/>
  <c r="G39" i="3"/>
  <c r="F54" i="3"/>
  <c r="G54" i="3"/>
  <c r="F69" i="3"/>
  <c r="G69" i="3"/>
  <c r="F99" i="3"/>
  <c r="G99" i="3"/>
  <c r="F129" i="3"/>
  <c r="G129" i="3"/>
  <c r="F159" i="3"/>
  <c r="G159" i="3"/>
  <c r="F174" i="3"/>
  <c r="G174" i="3"/>
  <c r="G9" i="3"/>
  <c r="B10" i="2"/>
  <c r="B23" i="2" s="1"/>
  <c r="C10" i="2"/>
  <c r="D10" i="2"/>
  <c r="D23" i="2" s="1"/>
  <c r="E10" i="2"/>
  <c r="F10" i="2"/>
  <c r="F23" i="2" s="1"/>
  <c r="H10" i="2"/>
  <c r="J10" i="2"/>
  <c r="L10" i="2"/>
  <c r="M10" i="2"/>
  <c r="M23" i="2" s="1"/>
  <c r="N10" i="2"/>
  <c r="I39" i="1"/>
  <c r="M39" i="1"/>
  <c r="K52" i="1"/>
  <c r="D31" i="2"/>
  <c r="D44" i="2" s="1"/>
  <c r="L202" i="1"/>
  <c r="L204" i="1" s="1"/>
  <c r="K202" i="1"/>
  <c r="M202" i="1" s="1"/>
  <c r="I202" i="1"/>
  <c r="K97" i="1"/>
  <c r="M97" i="1" s="1"/>
  <c r="K172" i="1"/>
  <c r="H129" i="1"/>
  <c r="F142" i="1"/>
  <c r="J142" i="1" s="1"/>
  <c r="H69" i="1"/>
  <c r="H39" i="1"/>
  <c r="J39" i="1"/>
  <c r="J145" i="1"/>
  <c r="F207" i="4"/>
  <c r="H86" i="1"/>
  <c r="H11" i="1"/>
  <c r="J11" i="1"/>
  <c r="J25" i="1"/>
  <c r="H88" i="1"/>
  <c r="J148" i="1"/>
  <c r="H147" i="1"/>
  <c r="J147" i="1"/>
  <c r="J144" i="1"/>
  <c r="J174" i="1"/>
  <c r="J45" i="1"/>
  <c r="H118" i="1"/>
  <c r="H119" i="1"/>
  <c r="H195" i="1"/>
  <c r="I22" i="1"/>
  <c r="H189" i="1"/>
  <c r="F202" i="1"/>
  <c r="J72" i="1"/>
  <c r="H72" i="1"/>
  <c r="J159" i="1"/>
  <c r="H159" i="1"/>
  <c r="J131" i="1"/>
  <c r="H191" i="1"/>
  <c r="J191" i="1"/>
  <c r="J13" i="1"/>
  <c r="H13" i="1"/>
  <c r="H71" i="1"/>
  <c r="H146" i="1"/>
  <c r="J58" i="1"/>
  <c r="H174" i="1"/>
  <c r="H10" i="1"/>
  <c r="J10" i="1"/>
  <c r="H85" i="1"/>
  <c r="H101" i="1"/>
  <c r="H29" i="1"/>
  <c r="J120" i="1"/>
  <c r="J180" i="1"/>
  <c r="H102" i="1"/>
  <c r="H15" i="1"/>
  <c r="H149" i="1"/>
  <c r="J115" i="1"/>
  <c r="F203" i="4"/>
  <c r="G203" i="4"/>
  <c r="H203" i="4"/>
  <c r="H46" i="1"/>
  <c r="M22" i="1"/>
  <c r="F173" i="4"/>
  <c r="F128" i="4"/>
  <c r="E202" i="1"/>
  <c r="I172" i="1"/>
  <c r="M67" i="1"/>
  <c r="F113" i="4"/>
  <c r="G113" i="4"/>
  <c r="H113" i="4" s="1"/>
  <c r="G158" i="4"/>
  <c r="H158" i="4" s="1"/>
  <c r="F98" i="4"/>
  <c r="F68" i="4"/>
  <c r="F53" i="4"/>
  <c r="F38" i="4"/>
  <c r="F22" i="3"/>
  <c r="G52" i="3"/>
  <c r="F37" i="3"/>
  <c r="M172" i="1"/>
  <c r="I142" i="1"/>
  <c r="M206" i="1"/>
  <c r="H124" i="1"/>
  <c r="M112" i="1"/>
  <c r="I112" i="1"/>
  <c r="H92" i="1"/>
  <c r="I67" i="1"/>
  <c r="M52" i="1"/>
  <c r="I52" i="1"/>
  <c r="E37" i="1"/>
  <c r="E22" i="1"/>
  <c r="H18" i="1"/>
  <c r="F44" i="2"/>
  <c r="L44" i="2"/>
  <c r="N44" i="2"/>
  <c r="N23" i="2"/>
  <c r="C23" i="2"/>
  <c r="J67" i="1" l="1"/>
  <c r="H187" i="1"/>
  <c r="J187" i="1"/>
  <c r="H157" i="1"/>
  <c r="H206" i="1"/>
  <c r="J52" i="1"/>
  <c r="J127" i="1"/>
  <c r="G204" i="1"/>
  <c r="H172" i="1"/>
  <c r="J172" i="1"/>
  <c r="I82" i="1"/>
  <c r="I157" i="1"/>
  <c r="F52" i="1"/>
  <c r="H52" i="1" s="1"/>
  <c r="J157" i="1"/>
  <c r="F112" i="3"/>
  <c r="F82" i="1"/>
  <c r="H74" i="1"/>
  <c r="J206" i="1"/>
  <c r="K204" i="1"/>
  <c r="F83" i="4"/>
  <c r="F97" i="1"/>
  <c r="J54" i="1"/>
  <c r="H99" i="1"/>
  <c r="G23" i="4"/>
  <c r="H23" i="4" s="1"/>
  <c r="H30" i="1"/>
  <c r="H19" i="1"/>
  <c r="F127" i="1"/>
  <c r="H127" i="1" s="1"/>
  <c r="F202" i="3"/>
  <c r="H133" i="1"/>
  <c r="G67" i="3"/>
  <c r="J47" i="1"/>
  <c r="O18" i="2"/>
  <c r="F22" i="1"/>
  <c r="O11" i="2"/>
  <c r="H202" i="1"/>
  <c r="H142" i="1"/>
  <c r="H160" i="1"/>
  <c r="H177" i="1"/>
  <c r="J14" i="1"/>
  <c r="J154" i="1"/>
  <c r="C204" i="1"/>
  <c r="E204" i="1" s="1"/>
  <c r="J151" i="1"/>
  <c r="J137" i="1"/>
  <c r="J63" i="1"/>
  <c r="J168" i="1"/>
  <c r="E204" i="3"/>
  <c r="F206" i="3"/>
  <c r="H105" i="1"/>
  <c r="B44" i="2"/>
  <c r="J37" i="1"/>
  <c r="H106" i="1"/>
  <c r="J202" i="1"/>
  <c r="J114" i="1"/>
  <c r="J24" i="1"/>
  <c r="J99" i="1"/>
  <c r="J43" i="1"/>
  <c r="J73" i="1"/>
  <c r="J104" i="1"/>
  <c r="H165" i="1"/>
  <c r="J16" i="1"/>
  <c r="J93" i="1"/>
  <c r="J64" i="1"/>
  <c r="J80" i="1"/>
  <c r="J125" i="1"/>
  <c r="O10" i="2"/>
  <c r="I97" i="1"/>
  <c r="J160" i="1"/>
  <c r="J190" i="1"/>
  <c r="H161" i="1"/>
  <c r="J167" i="1"/>
  <c r="D205" i="4"/>
  <c r="F82" i="3"/>
  <c r="D204" i="3"/>
  <c r="I127" i="1"/>
  <c r="H9" i="1"/>
  <c r="H192" i="1"/>
  <c r="H178" i="1"/>
  <c r="H48" i="1"/>
  <c r="M127" i="1"/>
  <c r="J90" i="1"/>
  <c r="F205" i="4" l="1"/>
  <c r="G205" i="4"/>
  <c r="H205" i="4" s="1"/>
  <c r="M204" i="1"/>
  <c r="I204" i="1"/>
  <c r="J82" i="1"/>
  <c r="H82" i="1"/>
  <c r="H22" i="1"/>
  <c r="J22" i="1"/>
  <c r="J97" i="1"/>
  <c r="H97" i="1"/>
  <c r="O23" i="2"/>
  <c r="F204" i="3"/>
  <c r="G204" i="3"/>
  <c r="F204" i="1"/>
  <c r="H204" i="1" s="1"/>
  <c r="J204" i="1" l="1"/>
</calcChain>
</file>

<file path=xl/sharedStrings.xml><?xml version="1.0" encoding="utf-8"?>
<sst xmlns="http://schemas.openxmlformats.org/spreadsheetml/2006/main" count="192" uniqueCount="75">
  <si>
    <t>MISSOURI GAMING COMMISSION</t>
  </si>
  <si>
    <t>CURR YR</t>
  </si>
  <si>
    <t>CURR</t>
  </si>
  <si>
    <t>PRIOR YR</t>
  </si>
  <si>
    <t>WIN PER</t>
  </si>
  <si>
    <t xml:space="preserve">BOAT </t>
  </si>
  <si>
    <t>YEAR</t>
  </si>
  <si>
    <t>ADMISSIONS</t>
  </si>
  <si>
    <t>% CHG</t>
  </si>
  <si>
    <t>PATRONS</t>
  </si>
  <si>
    <t>ADMISSION</t>
  </si>
  <si>
    <t>PATRON</t>
  </si>
  <si>
    <t>TOTAL AGR</t>
  </si>
  <si>
    <t>ARGOSY</t>
  </si>
  <si>
    <t xml:space="preserve">      TOTALS:</t>
  </si>
  <si>
    <t>IOC - BOONVILLE</t>
  </si>
  <si>
    <t>HARRAHS NKC</t>
  </si>
  <si>
    <t>ISLE OF CAPRI - KC</t>
  </si>
  <si>
    <t xml:space="preserve">AMERISTAR KC </t>
  </si>
  <si>
    <t>AMERISTAR SC</t>
  </si>
  <si>
    <t>STATE TOTALS FYTD:</t>
  </si>
  <si>
    <t>STATE TOTALS MTD:</t>
  </si>
  <si>
    <t>NOTE:  1)    The figures in this report are subject to adjustment.</t>
  </si>
  <si>
    <t>FISCAL YTD ADMISSION FEES &amp; GAMING TAX BY LICENSED OPERATOR</t>
  </si>
  <si>
    <t>ADMISSIONS FEES</t>
  </si>
  <si>
    <t>STATE</t>
  </si>
  <si>
    <t>MONTH</t>
  </si>
  <si>
    <t>AMERISTAR KC</t>
  </si>
  <si>
    <t>TOTAL</t>
  </si>
  <si>
    <t>TOTALS</t>
  </si>
  <si>
    <t>GAMING TAX</t>
  </si>
  <si>
    <t>NOTE:  THE FIGURES IN THIS REPORT ARE SUBJECT TO ADJUSTMENT</t>
  </si>
  <si>
    <t xml:space="preserve">TABLE GAMES - FISCAL YTD  ANALYSIS OF HOLD % BY BOAT </t>
  </si>
  <si>
    <t>CURR YEAR</t>
  </si>
  <si>
    <t>ACTUAL</t>
  </si>
  <si>
    <t>TABLE DROP</t>
  </si>
  <si>
    <t>TABLE WIN</t>
  </si>
  <si>
    <t>HOLD %</t>
  </si>
  <si>
    <t>ARGOSY RIVERSIDE</t>
  </si>
  <si>
    <t>HARRAHS NORTH KC</t>
  </si>
  <si>
    <t xml:space="preserve">AMERISTAR SC </t>
  </si>
  <si>
    <t>STATE TOTALS FISCAL YTD:</t>
  </si>
  <si>
    <t>STATE TOTALS CURR MONTH:</t>
  </si>
  <si>
    <t>NOTE:  The figures in this report are subject to adjustment.</t>
  </si>
  <si>
    <t>ELECTRONIC GAMING DEVICES</t>
  </si>
  <si>
    <t xml:space="preserve">FISCAL YTD ANALYSIS OF HOLD &amp; PAYOUT % BY BOAT </t>
  </si>
  <si>
    <t>CURRENT YEAR</t>
  </si>
  <si>
    <t>SLOT</t>
  </si>
  <si>
    <t>HANDLE</t>
  </si>
  <si>
    <t>SLOT WIN</t>
  </si>
  <si>
    <t>PAYOUT %</t>
  </si>
  <si>
    <t xml:space="preserve">IOC - BOONVILLE </t>
  </si>
  <si>
    <t>NOTE:    The figures in this report are subject to adjustment.</t>
  </si>
  <si>
    <t>MARK TWAIN</t>
  </si>
  <si>
    <t xml:space="preserve">ST. JO </t>
  </si>
  <si>
    <t>LUMIERE PLACE</t>
  </si>
  <si>
    <t>IOC - LADY LUCK</t>
  </si>
  <si>
    <t>RIVER CITY</t>
  </si>
  <si>
    <t xml:space="preserve">RIVER CITY </t>
  </si>
  <si>
    <t xml:space="preserve">MARK TWAIN </t>
  </si>
  <si>
    <t xml:space="preserve">IOC - LADY LUCK </t>
  </si>
  <si>
    <t>IOC - CAPE GIRARDEAU</t>
  </si>
  <si>
    <t>HOLLYWOOD</t>
  </si>
  <si>
    <t>ST. JO FRONTIER</t>
  </si>
  <si>
    <t xml:space="preserve">ST. JO FRONTIER </t>
  </si>
  <si>
    <t xml:space="preserve">HOLLYWOOD </t>
  </si>
  <si>
    <t xml:space="preserve">IOC - CAPE GIRARDEAU </t>
  </si>
  <si>
    <t xml:space="preserve">LUMIERE PLACE </t>
  </si>
  <si>
    <t xml:space="preserve">FISCAL 2019 YTD ADMISSIONS, PATRONS AND AGR SUMMARY </t>
  </si>
  <si>
    <t>MONTH ENDED:   JUNE 30, 2019</t>
  </si>
  <si>
    <t>(as reported on the tax remittal database dtd 7/9/19)</t>
  </si>
  <si>
    <t>FOR THE MONTH ENDED:   JUNE 30, 2019</t>
  </si>
  <si>
    <t>THRU MONTH ENDED:   JUNE 30, 2019</t>
  </si>
  <si>
    <t>(as reported on the tax remittal database as of 7/9/19)</t>
  </si>
  <si>
    <t>THRU MONTH ENDED:     JUNE 30,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</si>
</sst>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General;[Red]\-General"/>
    <numFmt numFmtId="165" formatCode="0.000%"/>
    <numFmt numFmtId="166" formatCode="#,##0.00;[Red]\-#,##0.00"/>
    <numFmt numFmtId="167" formatCode="0.0%"/>
  </numFmts>
  <fonts count="17" x14ac:knownFonts="1">
    <font>
      <sz val="12"/>
      <name val="Arial"/>
    </font>
    <font>
      <b/>
      <sz val="10"/>
      <name val="Arial"/>
    </font>
    <font>
      <sz val="12"/>
      <name val="Arial"/>
    </font>
    <font>
      <b/>
      <sz val="14"/>
      <name val="Arial"/>
    </font>
    <font>
      <b/>
      <i/>
      <sz val="14"/>
      <name val="Arial"/>
    </font>
    <font>
      <b/>
      <sz val="11"/>
      <name val="Arial"/>
    </font>
    <font>
      <b/>
      <sz val="12"/>
      <name val="Arial"/>
    </font>
    <font>
      <b/>
      <u/>
      <sz val="12"/>
      <name val="Arial"/>
    </font>
    <font>
      <b/>
      <sz val="18"/>
      <name val="Arial"/>
    </font>
    <font>
      <b/>
      <i/>
      <u/>
      <sz val="14"/>
      <name val="Arial"/>
    </font>
    <font>
      <b/>
      <i/>
      <u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</fills>
  <borders count="22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</borders>
  <cellStyleXfs count="4">
    <xf numFmtId="164" fontId="0" fillId="0" borderId="0"/>
    <xf numFmtId="0" fontId="2" fillId="0" borderId="0"/>
    <xf numFmtId="0" fontId="2" fillId="0" borderId="0"/>
    <xf numFmtId="0" fontId="2" fillId="0" borderId="0"/>
  </cellStyleXfs>
  <cellXfs count="289">
    <xf numFmtId="164" fontId="2" fillId="0" borderId="0" xfId="0" applyNumberFormat="1" applyFont="1" applyAlignment="1" applyProtection="1">
      <protection locked="0"/>
    </xf>
    <xf numFmtId="0" fontId="3" fillId="0" borderId="0" xfId="0" applyNumberFormat="1" applyFont="1" applyAlignment="1"/>
    <xf numFmtId="164" fontId="0" fillId="0" borderId="0" xfId="0" applyFont="1" applyAlignment="1"/>
    <xf numFmtId="164" fontId="0" fillId="0" borderId="0" xfId="0" applyNumberFormat="1" applyFont="1" applyAlignment="1" applyProtection="1">
      <protection locked="0"/>
    </xf>
    <xf numFmtId="0" fontId="4" fillId="0" borderId="0" xfId="0" applyNumberFormat="1" applyFont="1" applyAlignment="1"/>
    <xf numFmtId="164" fontId="1" fillId="0" borderId="0" xfId="0" applyFont="1" applyAlignment="1">
      <alignment horizontal="center"/>
    </xf>
    <xf numFmtId="164" fontId="0" fillId="2" borderId="1" xfId="0" applyFont="1" applyFill="1" applyBorder="1" applyAlignment="1"/>
    <xf numFmtId="164" fontId="5" fillId="2" borderId="2" xfId="0" applyFont="1" applyFill="1" applyBorder="1" applyAlignment="1">
      <alignment horizontal="center"/>
    </xf>
    <xf numFmtId="164" fontId="5" fillId="3" borderId="2" xfId="0" applyFont="1" applyFill="1" applyBorder="1" applyAlignment="1">
      <alignment horizontal="center"/>
    </xf>
    <xf numFmtId="164" fontId="5" fillId="3" borderId="3" xfId="0" applyFont="1" applyFill="1" applyBorder="1" applyAlignment="1">
      <alignment horizontal="center"/>
    </xf>
    <xf numFmtId="164" fontId="0" fillId="0" borderId="0" xfId="0" applyBorder="1"/>
    <xf numFmtId="164" fontId="6" fillId="2" borderId="4" xfId="0" applyFont="1" applyFill="1" applyBorder="1" applyAlignment="1">
      <alignment horizontal="center"/>
    </xf>
    <xf numFmtId="164" fontId="5" fillId="2" borderId="5" xfId="0" applyFont="1" applyFill="1" applyBorder="1" applyAlignment="1">
      <alignment horizontal="center"/>
    </xf>
    <xf numFmtId="164" fontId="0" fillId="3" borderId="5" xfId="0" applyFill="1" applyBorder="1" applyAlignment="1">
      <alignment horizontal="center"/>
    </xf>
    <xf numFmtId="164" fontId="5" fillId="3" borderId="6" xfId="0" applyFont="1" applyFill="1" applyBorder="1" applyAlignment="1">
      <alignment horizontal="center"/>
    </xf>
    <xf numFmtId="164" fontId="7" fillId="0" borderId="1" xfId="0" applyFont="1" applyBorder="1" applyAlignment="1">
      <alignment horizontal="center"/>
    </xf>
    <xf numFmtId="164" fontId="7" fillId="0" borderId="2" xfId="0" applyFont="1" applyBorder="1" applyAlignment="1">
      <alignment horizontal="center"/>
    </xf>
    <xf numFmtId="164" fontId="7" fillId="3" borderId="2" xfId="0" applyFont="1" applyFill="1" applyBorder="1" applyAlignment="1">
      <alignment horizontal="center"/>
    </xf>
    <xf numFmtId="164" fontId="7" fillId="3" borderId="3" xfId="0" applyFont="1" applyFill="1" applyBorder="1" applyAlignment="1">
      <alignment horizontal="center"/>
    </xf>
    <xf numFmtId="166" fontId="6" fillId="0" borderId="4" xfId="0" applyNumberFormat="1" applyFont="1" applyBorder="1" applyAlignment="1"/>
    <xf numFmtId="17" fontId="0" fillId="0" borderId="5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9" fontId="0" fillId="3" borderId="5" xfId="0" applyNumberFormat="1" applyFont="1" applyFill="1" applyBorder="1" applyAlignment="1">
      <alignment horizontal="center"/>
    </xf>
    <xf numFmtId="4" fontId="0" fillId="0" borderId="5" xfId="0" applyNumberFormat="1" applyFont="1" applyBorder="1" applyAlignment="1">
      <alignment horizontal="center"/>
    </xf>
    <xf numFmtId="9" fontId="0" fillId="3" borderId="6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/>
    <xf numFmtId="164" fontId="0" fillId="2" borderId="2" xfId="0" applyFont="1" applyFill="1" applyBorder="1" applyAlignment="1">
      <alignment horizontal="center"/>
    </xf>
    <xf numFmtId="3" fontId="6" fillId="2" borderId="2" xfId="0" applyNumberFormat="1" applyFont="1" applyFill="1" applyBorder="1" applyAlignment="1">
      <alignment horizontal="center"/>
    </xf>
    <xf numFmtId="9" fontId="0" fillId="3" borderId="2" xfId="0" applyNumberFormat="1" applyFont="1" applyFill="1" applyBorder="1" applyAlignment="1">
      <alignment horizontal="center"/>
    </xf>
    <xf numFmtId="9" fontId="6" fillId="3" borderId="2" xfId="0" applyNumberFormat="1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center"/>
    </xf>
    <xf numFmtId="9" fontId="6" fillId="3" borderId="3" xfId="0" applyNumberFormat="1" applyFont="1" applyFill="1" applyBorder="1" applyAlignment="1">
      <alignment horizontal="center"/>
    </xf>
    <xf numFmtId="166" fontId="6" fillId="0" borderId="1" xfId="0" applyNumberFormat="1" applyFont="1" applyBorder="1" applyAlignment="1"/>
    <xf numFmtId="164" fontId="0" fillId="0" borderId="2" xfId="0" applyFont="1" applyBorder="1" applyAlignment="1">
      <alignment horizontal="center"/>
    </xf>
    <xf numFmtId="3" fontId="0" fillId="0" borderId="2" xfId="0" applyNumberFormat="1" applyFont="1" applyBorder="1" applyAlignment="1">
      <alignment horizontal="center"/>
    </xf>
    <xf numFmtId="4" fontId="0" fillId="0" borderId="2" xfId="0" applyNumberFormat="1" applyFont="1" applyBorder="1" applyAlignment="1">
      <alignment horizontal="center"/>
    </xf>
    <xf numFmtId="9" fontId="0" fillId="3" borderId="3" xfId="0" applyNumberFormat="1" applyFont="1" applyFill="1" applyBorder="1" applyAlignment="1">
      <alignment horizontal="center"/>
    </xf>
    <xf numFmtId="166" fontId="0" fillId="0" borderId="4" xfId="0" applyNumberFormat="1" applyFont="1" applyBorder="1" applyAlignment="1"/>
    <xf numFmtId="166" fontId="6" fillId="2" borderId="7" xfId="0" applyNumberFormat="1" applyFont="1" applyFill="1" applyBorder="1" applyAlignment="1"/>
    <xf numFmtId="164" fontId="0" fillId="2" borderId="8" xfId="0" applyFont="1" applyFill="1" applyBorder="1" applyAlignment="1">
      <alignment horizontal="center"/>
    </xf>
    <xf numFmtId="3" fontId="6" fillId="2" borderId="8" xfId="0" applyNumberFormat="1" applyFont="1" applyFill="1" applyBorder="1" applyAlignment="1">
      <alignment horizontal="center"/>
    </xf>
    <xf numFmtId="9" fontId="6" fillId="3" borderId="8" xfId="0" applyNumberFormat="1" applyFont="1" applyFill="1" applyBorder="1" applyAlignment="1">
      <alignment horizontal="center"/>
    </xf>
    <xf numFmtId="4" fontId="6" fillId="2" borderId="8" xfId="0" applyNumberFormat="1" applyFont="1" applyFill="1" applyBorder="1" applyAlignment="1">
      <alignment horizontal="center"/>
    </xf>
    <xf numFmtId="9" fontId="6" fillId="3" borderId="9" xfId="0" applyNumberFormat="1" applyFont="1" applyFill="1" applyBorder="1" applyAlignment="1">
      <alignment horizontal="center"/>
    </xf>
    <xf numFmtId="164" fontId="0" fillId="0" borderId="5" xfId="0" applyFont="1" applyBorder="1" applyAlignment="1">
      <alignment horizontal="center"/>
    </xf>
    <xf numFmtId="9" fontId="0" fillId="3" borderId="10" xfId="0" applyNumberFormat="1" applyFont="1" applyFill="1" applyBorder="1" applyAlignment="1">
      <alignment horizontal="center"/>
    </xf>
    <xf numFmtId="3" fontId="6" fillId="2" borderId="11" xfId="0" applyNumberFormat="1" applyFont="1" applyFill="1" applyBorder="1" applyAlignment="1">
      <alignment horizontal="center"/>
    </xf>
    <xf numFmtId="3" fontId="6" fillId="2" borderId="10" xfId="0" applyNumberFormat="1" applyFont="1" applyFill="1" applyBorder="1" applyAlignment="1">
      <alignment horizontal="center"/>
    </xf>
    <xf numFmtId="9" fontId="6" fillId="3" borderId="11" xfId="0" applyNumberFormat="1" applyFont="1" applyFill="1" applyBorder="1" applyAlignment="1">
      <alignment horizontal="center"/>
    </xf>
    <xf numFmtId="4" fontId="6" fillId="2" borderId="10" xfId="0" applyNumberFormat="1" applyFont="1" applyFill="1" applyBorder="1" applyAlignment="1">
      <alignment horizontal="center"/>
    </xf>
    <xf numFmtId="4" fontId="6" fillId="2" borderId="11" xfId="0" applyNumberFormat="1" applyFont="1" applyFill="1" applyBorder="1" applyAlignment="1">
      <alignment horizontal="center"/>
    </xf>
    <xf numFmtId="164" fontId="0" fillId="2" borderId="10" xfId="0" applyFont="1" applyFill="1" applyBorder="1" applyAlignment="1">
      <alignment horizontal="center"/>
    </xf>
    <xf numFmtId="9" fontId="6" fillId="3" borderId="10" xfId="0" applyNumberFormat="1" applyFont="1" applyFill="1" applyBorder="1" applyAlignment="1">
      <alignment horizontal="center"/>
    </xf>
    <xf numFmtId="164" fontId="0" fillId="0" borderId="1" xfId="0" applyNumberFormat="1" applyBorder="1"/>
    <xf numFmtId="164" fontId="0" fillId="0" borderId="2" xfId="0" applyNumberFormat="1" applyBorder="1"/>
    <xf numFmtId="164" fontId="0" fillId="3" borderId="2" xfId="0" applyNumberFormat="1" applyFont="1" applyFill="1" applyBorder="1" applyAlignment="1"/>
    <xf numFmtId="164" fontId="0" fillId="3" borderId="3" xfId="0" applyNumberFormat="1" applyFont="1" applyFill="1" applyBorder="1" applyAlignment="1"/>
    <xf numFmtId="164" fontId="0" fillId="0" borderId="4" xfId="0" applyNumberFormat="1" applyBorder="1"/>
    <xf numFmtId="164" fontId="0" fillId="0" borderId="5" xfId="0" applyNumberFormat="1" applyBorder="1"/>
    <xf numFmtId="164" fontId="0" fillId="3" borderId="5" xfId="0" applyNumberFormat="1" applyFont="1" applyFill="1" applyBorder="1" applyAlignment="1"/>
    <xf numFmtId="164" fontId="0" fillId="3" borderId="6" xfId="0" applyNumberFormat="1" applyFont="1" applyFill="1" applyBorder="1" applyAlignment="1"/>
    <xf numFmtId="166" fontId="6" fillId="2" borderId="12" xfId="0" applyNumberFormat="1" applyFont="1" applyFill="1" applyBorder="1" applyAlignment="1"/>
    <xf numFmtId="166" fontId="0" fillId="0" borderId="1" xfId="0" applyNumberFormat="1" applyFont="1" applyBorder="1" applyAlignment="1"/>
    <xf numFmtId="166" fontId="6" fillId="2" borderId="1" xfId="0" applyNumberFormat="1" applyFont="1" applyFill="1" applyBorder="1" applyAlignment="1">
      <alignment horizontal="center"/>
    </xf>
    <xf numFmtId="164" fontId="6" fillId="2" borderId="2" xfId="0" applyFont="1" applyFill="1" applyBorder="1" applyAlignment="1">
      <alignment horizontal="center"/>
    </xf>
    <xf numFmtId="166" fontId="0" fillId="0" borderId="13" xfId="0" applyNumberFormat="1" applyFont="1" applyBorder="1" applyAlignment="1"/>
    <xf numFmtId="164" fontId="0" fillId="0" borderId="13" xfId="0" applyFont="1" applyBorder="1" applyAlignment="1">
      <alignment horizontal="center"/>
    </xf>
    <xf numFmtId="3" fontId="0" fillId="0" borderId="13" xfId="0" applyNumberFormat="1" applyFont="1" applyBorder="1" applyAlignment="1">
      <alignment horizontal="center"/>
    </xf>
    <xf numFmtId="166" fontId="3" fillId="0" borderId="0" xfId="0" applyNumberFormat="1" applyFont="1" applyAlignment="1"/>
    <xf numFmtId="164" fontId="0" fillId="0" borderId="0" xfId="0" applyFont="1" applyAlignment="1">
      <alignment horizontal="center"/>
    </xf>
    <xf numFmtId="4" fontId="6" fillId="0" borderId="0" xfId="0" applyNumberFormat="1" applyFont="1" applyAlignment="1"/>
    <xf numFmtId="0" fontId="6" fillId="0" borderId="0" xfId="0" applyNumberFormat="1" applyFont="1" applyAlignment="1"/>
    <xf numFmtId="17" fontId="0" fillId="0" borderId="0" xfId="0" applyNumberFormat="1" applyFont="1" applyAlignment="1">
      <alignment horizontal="center"/>
    </xf>
    <xf numFmtId="4" fontId="0" fillId="0" borderId="0" xfId="0" applyNumberFormat="1" applyFont="1" applyAlignment="1"/>
    <xf numFmtId="165" fontId="0" fillId="0" borderId="0" xfId="0" applyNumberFormat="1" applyFont="1" applyAlignment="1"/>
    <xf numFmtId="164" fontId="6" fillId="0" borderId="0" xfId="0" applyFont="1" applyAlignment="1"/>
    <xf numFmtId="17" fontId="0" fillId="0" borderId="0" xfId="0" applyNumberFormat="1" applyFont="1" applyAlignment="1"/>
    <xf numFmtId="0" fontId="8" fillId="0" borderId="0" xfId="3" applyFont="1" applyAlignment="1"/>
    <xf numFmtId="0" fontId="2" fillId="0" borderId="0" xfId="3" applyFont="1" applyAlignment="1"/>
    <xf numFmtId="0" fontId="2" fillId="0" borderId="0" xfId="3" applyNumberFormat="1" applyFont="1" applyAlignment="1" applyProtection="1">
      <protection locked="0"/>
    </xf>
    <xf numFmtId="0" fontId="2" fillId="3" borderId="1" xfId="3" applyFont="1" applyFill="1" applyBorder="1" applyAlignment="1"/>
    <xf numFmtId="0" fontId="6" fillId="3" borderId="1" xfId="3" applyFont="1" applyFill="1" applyBorder="1" applyAlignment="1">
      <alignment horizontal="center"/>
    </xf>
    <xf numFmtId="0" fontId="2" fillId="0" borderId="4" xfId="3" applyNumberFormat="1" applyBorder="1"/>
    <xf numFmtId="0" fontId="7" fillId="3" borderId="4" xfId="3" applyFont="1" applyFill="1" applyBorder="1" applyAlignment="1">
      <alignment horizontal="center"/>
    </xf>
    <xf numFmtId="0" fontId="2" fillId="3" borderId="4" xfId="3" applyFont="1" applyFill="1" applyBorder="1" applyAlignment="1"/>
    <xf numFmtId="0" fontId="2" fillId="2" borderId="1" xfId="3" applyFont="1" applyFill="1" applyBorder="1" applyAlignment="1"/>
    <xf numFmtId="0" fontId="2" fillId="0" borderId="1" xfId="3" applyFont="1" applyBorder="1" applyAlignment="1"/>
    <xf numFmtId="17" fontId="2" fillId="0" borderId="14" xfId="3" applyNumberFormat="1" applyFont="1" applyBorder="1" applyAlignment="1">
      <alignment horizontal="center"/>
    </xf>
    <xf numFmtId="3" fontId="2" fillId="0" borderId="14" xfId="3" applyNumberFormat="1" applyFont="1" applyBorder="1" applyAlignment="1">
      <alignment horizontal="center"/>
    </xf>
    <xf numFmtId="3" fontId="6" fillId="0" borderId="14" xfId="3" applyNumberFormat="1" applyFont="1" applyBorder="1" applyAlignment="1">
      <alignment horizontal="center"/>
    </xf>
    <xf numFmtId="17" fontId="7" fillId="0" borderId="14" xfId="3" applyNumberFormat="1" applyFont="1" applyBorder="1" applyAlignment="1">
      <alignment horizontal="center"/>
    </xf>
    <xf numFmtId="17" fontId="6" fillId="0" borderId="14" xfId="3" applyNumberFormat="1" applyFont="1" applyBorder="1" applyAlignment="1">
      <alignment horizontal="center"/>
    </xf>
    <xf numFmtId="17" fontId="2" fillId="0" borderId="13" xfId="3" applyNumberFormat="1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0" fontId="2" fillId="0" borderId="13" xfId="3" applyNumberFormat="1" applyFont="1" applyBorder="1" applyAlignment="1">
      <alignment horizontal="center"/>
    </xf>
    <xf numFmtId="17" fontId="8" fillId="0" borderId="0" xfId="3" applyNumberFormat="1" applyFont="1" applyAlignment="1">
      <alignment horizontal="centerContinuous"/>
    </xf>
    <xf numFmtId="0" fontId="8" fillId="0" borderId="0" xfId="3" applyNumberFormat="1" applyFont="1" applyAlignment="1">
      <alignment horizontal="centerContinuous"/>
    </xf>
    <xf numFmtId="0" fontId="2" fillId="0" borderId="0" xfId="3" applyFont="1" applyAlignment="1">
      <alignment horizontal="center"/>
    </xf>
    <xf numFmtId="0" fontId="2" fillId="0" borderId="0" xfId="3" applyNumberFormat="1" applyFont="1" applyAlignment="1">
      <alignment horizontal="center"/>
    </xf>
    <xf numFmtId="17" fontId="2" fillId="3" borderId="1" xfId="3" applyNumberFormat="1" applyFont="1" applyFill="1" applyBorder="1" applyAlignment="1">
      <alignment horizontal="center"/>
    </xf>
    <xf numFmtId="0" fontId="2" fillId="3" borderId="1" xfId="3" applyFont="1" applyFill="1" applyBorder="1" applyAlignment="1">
      <alignment horizontal="center"/>
    </xf>
    <xf numFmtId="0" fontId="7" fillId="3" borderId="1" xfId="3" applyFont="1" applyFill="1" applyBorder="1" applyAlignment="1">
      <alignment horizontal="center"/>
    </xf>
    <xf numFmtId="0" fontId="2" fillId="3" borderId="1" xfId="3" applyNumberFormat="1" applyFont="1" applyFill="1" applyBorder="1" applyAlignment="1">
      <alignment horizontal="center"/>
    </xf>
    <xf numFmtId="0" fontId="6" fillId="3" borderId="1" xfId="3" applyNumberFormat="1" applyFont="1" applyFill="1" applyBorder="1" applyAlignment="1">
      <alignment horizontal="center"/>
    </xf>
    <xf numFmtId="17" fontId="7" fillId="3" borderId="4" xfId="3" applyNumberFormat="1" applyFont="1" applyFill="1" applyBorder="1" applyAlignment="1">
      <alignment horizontal="center"/>
    </xf>
    <xf numFmtId="0" fontId="7" fillId="3" borderId="4" xfId="3" applyNumberFormat="1" applyFont="1" applyFill="1" applyBorder="1" applyAlignment="1">
      <alignment horizontal="center"/>
    </xf>
    <xf numFmtId="17" fontId="2" fillId="3" borderId="4" xfId="3" applyNumberFormat="1" applyFont="1" applyFill="1" applyBorder="1" applyAlignment="1">
      <alignment horizontal="center"/>
    </xf>
    <xf numFmtId="0" fontId="2" fillId="3" borderId="4" xfId="3" applyFont="1" applyFill="1" applyBorder="1" applyAlignment="1">
      <alignment horizontal="center"/>
    </xf>
    <xf numFmtId="0" fontId="2" fillId="3" borderId="4" xfId="3" applyNumberFormat="1" applyFont="1" applyFill="1" applyBorder="1" applyAlignment="1">
      <alignment horizontal="center"/>
    </xf>
    <xf numFmtId="17" fontId="2" fillId="2" borderId="1" xfId="3" applyNumberFormat="1" applyFont="1" applyFill="1" applyBorder="1" applyAlignment="1">
      <alignment horizontal="center"/>
    </xf>
    <xf numFmtId="0" fontId="2" fillId="2" borderId="1" xfId="3" applyFont="1" applyFill="1" applyBorder="1" applyAlignment="1">
      <alignment horizontal="center"/>
    </xf>
    <xf numFmtId="0" fontId="2" fillId="0" borderId="1" xfId="3" applyFont="1" applyBorder="1" applyAlignment="1">
      <alignment horizontal="center"/>
    </xf>
    <xf numFmtId="0" fontId="2" fillId="2" borderId="1" xfId="3" applyNumberFormat="1" applyFont="1" applyFill="1" applyBorder="1" applyAlignment="1">
      <alignment horizontal="center"/>
    </xf>
    <xf numFmtId="4" fontId="2" fillId="0" borderId="13" xfId="3" applyNumberFormat="1" applyFont="1" applyBorder="1" applyAlignment="1">
      <alignment horizontal="center"/>
    </xf>
    <xf numFmtId="0" fontId="7" fillId="0" borderId="0" xfId="3" applyFont="1" applyAlignment="1">
      <alignment horizontal="left"/>
    </xf>
    <xf numFmtId="0" fontId="3" fillId="0" borderId="0" xfId="2" applyNumberFormat="1" applyFont="1" applyAlignment="1"/>
    <xf numFmtId="0" fontId="2" fillId="0" borderId="0" xfId="2" applyNumberFormat="1" applyFont="1" applyAlignment="1"/>
    <xf numFmtId="0" fontId="2" fillId="0" borderId="0" xfId="2" applyAlignment="1"/>
    <xf numFmtId="0" fontId="4" fillId="0" borderId="0" xfId="2" applyNumberFormat="1" applyFont="1" applyAlignment="1"/>
    <xf numFmtId="0" fontId="2" fillId="2" borderId="1" xfId="2" applyNumberFormat="1" applyFont="1" applyFill="1" applyBorder="1" applyAlignment="1"/>
    <xf numFmtId="0" fontId="6" fillId="2" borderId="2" xfId="2" applyNumberFormat="1" applyFont="1" applyFill="1" applyBorder="1" applyAlignment="1">
      <alignment horizontal="center"/>
    </xf>
    <xf numFmtId="0" fontId="6" fillId="3" borderId="2" xfId="2" applyNumberFormat="1" applyFont="1" applyFill="1" applyBorder="1" applyAlignment="1">
      <alignment horizontal="center"/>
    </xf>
    <xf numFmtId="0" fontId="2" fillId="0" borderId="4" xfId="2" applyBorder="1"/>
    <xf numFmtId="0" fontId="6" fillId="2" borderId="15" xfId="2" applyNumberFormat="1" applyFont="1" applyFill="1" applyBorder="1" applyAlignment="1">
      <alignment horizontal="center"/>
    </xf>
    <xf numFmtId="0" fontId="6" fillId="2" borderId="16" xfId="2" applyNumberFormat="1" applyFont="1" applyFill="1" applyBorder="1" applyAlignment="1">
      <alignment horizontal="center"/>
    </xf>
    <xf numFmtId="0" fontId="6" fillId="3" borderId="16" xfId="2" applyNumberFormat="1" applyFont="1" applyFill="1" applyBorder="1" applyAlignment="1">
      <alignment horizontal="center"/>
    </xf>
    <xf numFmtId="0" fontId="7" fillId="0" borderId="4" xfId="2" applyNumberFormat="1" applyFont="1" applyBorder="1" applyAlignment="1">
      <alignment horizontal="center"/>
    </xf>
    <xf numFmtId="0" fontId="7" fillId="0" borderId="5" xfId="2" applyNumberFormat="1" applyFont="1" applyBorder="1" applyAlignment="1">
      <alignment horizontal="center"/>
    </xf>
    <xf numFmtId="0" fontId="7" fillId="3" borderId="5" xfId="2" applyNumberFormat="1" applyFont="1" applyFill="1" applyBorder="1" applyAlignment="1">
      <alignment horizontal="center"/>
    </xf>
    <xf numFmtId="166" fontId="6" fillId="0" borderId="4" xfId="2" applyNumberFormat="1" applyFont="1" applyBorder="1" applyAlignment="1"/>
    <xf numFmtId="17" fontId="2" fillId="0" borderId="5" xfId="2" applyNumberFormat="1" applyFont="1" applyBorder="1" applyAlignment="1">
      <alignment horizontal="center"/>
    </xf>
    <xf numFmtId="9" fontId="2" fillId="3" borderId="5" xfId="2" applyNumberFormat="1" applyFont="1" applyFill="1" applyBorder="1" applyAlignment="1">
      <alignment horizontal="center"/>
    </xf>
    <xf numFmtId="166" fontId="2" fillId="0" borderId="4" xfId="2" applyNumberFormat="1" applyFont="1" applyBorder="1" applyAlignment="1"/>
    <xf numFmtId="0" fontId="2" fillId="0" borderId="5" xfId="2" applyNumberFormat="1" applyFont="1" applyBorder="1" applyAlignment="1">
      <alignment horizontal="center"/>
    </xf>
    <xf numFmtId="166" fontId="6" fillId="2" borderId="1" xfId="2" applyNumberFormat="1" applyFont="1" applyFill="1" applyBorder="1" applyAlignment="1"/>
    <xf numFmtId="0" fontId="2" fillId="2" borderId="2" xfId="2" applyNumberFormat="1" applyFont="1" applyFill="1" applyBorder="1" applyAlignment="1">
      <alignment horizontal="center"/>
    </xf>
    <xf numFmtId="9" fontId="6" fillId="3" borderId="2" xfId="2" applyNumberFormat="1" applyFont="1" applyFill="1" applyBorder="1" applyAlignment="1">
      <alignment horizontal="center"/>
    </xf>
    <xf numFmtId="166" fontId="6" fillId="0" borderId="1" xfId="2" applyNumberFormat="1" applyFont="1" applyBorder="1" applyAlignment="1"/>
    <xf numFmtId="0" fontId="2" fillId="0" borderId="2" xfId="2" applyNumberFormat="1" applyFont="1" applyBorder="1" applyAlignment="1">
      <alignment horizontal="center"/>
    </xf>
    <xf numFmtId="9" fontId="2" fillId="3" borderId="2" xfId="2" applyNumberFormat="1" applyFont="1" applyFill="1" applyBorder="1" applyAlignment="1">
      <alignment horizontal="center"/>
    </xf>
    <xf numFmtId="166" fontId="6" fillId="2" borderId="7" xfId="2" applyNumberFormat="1" applyFont="1" applyFill="1" applyBorder="1" applyAlignment="1"/>
    <xf numFmtId="0" fontId="2" fillId="2" borderId="8" xfId="2" applyNumberFormat="1" applyFont="1" applyFill="1" applyBorder="1" applyAlignment="1">
      <alignment horizontal="center"/>
    </xf>
    <xf numFmtId="9" fontId="6" fillId="3" borderId="8" xfId="2" applyNumberFormat="1" applyFont="1" applyFill="1" applyBorder="1" applyAlignment="1">
      <alignment horizontal="center"/>
    </xf>
    <xf numFmtId="166" fontId="6" fillId="2" borderId="12" xfId="2" applyNumberFormat="1" applyFont="1" applyFill="1" applyBorder="1" applyAlignment="1"/>
    <xf numFmtId="0" fontId="2" fillId="2" borderId="10" xfId="2" applyNumberFormat="1" applyFont="1" applyFill="1" applyBorder="1" applyAlignment="1">
      <alignment horizontal="center"/>
    </xf>
    <xf numFmtId="166" fontId="2" fillId="0" borderId="1" xfId="2" applyNumberFormat="1" applyFont="1" applyBorder="1" applyAlignment="1"/>
    <xf numFmtId="166" fontId="6" fillId="2" borderId="1" xfId="2" applyNumberFormat="1" applyFont="1" applyFill="1" applyBorder="1" applyAlignment="1">
      <alignment horizontal="center"/>
    </xf>
    <xf numFmtId="4" fontId="6" fillId="0" borderId="0" xfId="2" applyNumberFormat="1" applyFont="1" applyAlignment="1"/>
    <xf numFmtId="0" fontId="3" fillId="0" borderId="0" xfId="1" applyNumberFormat="1" applyFont="1" applyAlignment="1"/>
    <xf numFmtId="0" fontId="2" fillId="0" borderId="0" xfId="1" applyNumberFormat="1" applyFont="1" applyAlignment="1"/>
    <xf numFmtId="0" fontId="2" fillId="0" borderId="0" xfId="1"/>
    <xf numFmtId="0" fontId="2" fillId="0" borderId="0" xfId="1" applyAlignment="1"/>
    <xf numFmtId="0" fontId="4" fillId="0" borderId="0" xfId="1" applyNumberFormat="1" applyFont="1" applyAlignment="1"/>
    <xf numFmtId="0" fontId="6" fillId="2" borderId="1" xfId="1" applyNumberFormat="1" applyFont="1" applyFill="1" applyBorder="1" applyAlignment="1">
      <alignment horizontal="center"/>
    </xf>
    <xf numFmtId="0" fontId="6" fillId="2" borderId="2" xfId="1" applyNumberFormat="1" applyFont="1" applyFill="1" applyBorder="1" applyAlignment="1">
      <alignment horizontal="center"/>
    </xf>
    <xf numFmtId="0" fontId="6" fillId="3" borderId="2" xfId="1" applyNumberFormat="1" applyFont="1" applyFill="1" applyBorder="1" applyAlignment="1">
      <alignment horizontal="center"/>
    </xf>
    <xf numFmtId="0" fontId="2" fillId="0" borderId="0" xfId="1" applyBorder="1"/>
    <xf numFmtId="0" fontId="6" fillId="2" borderId="4" xfId="1" applyNumberFormat="1" applyFont="1" applyFill="1" applyBorder="1" applyAlignment="1">
      <alignment horizontal="center"/>
    </xf>
    <xf numFmtId="0" fontId="6" fillId="2" borderId="5" xfId="1" applyNumberFormat="1" applyFont="1" applyFill="1" applyBorder="1" applyAlignment="1">
      <alignment horizontal="center"/>
    </xf>
    <xf numFmtId="0" fontId="6" fillId="3" borderId="5" xfId="1" applyNumberFormat="1" applyFont="1" applyFill="1" applyBorder="1" applyAlignment="1">
      <alignment horizontal="center"/>
    </xf>
    <xf numFmtId="0" fontId="7" fillId="0" borderId="1" xfId="1" applyNumberFormat="1" applyFont="1" applyBorder="1" applyAlignment="1">
      <alignment horizontal="center"/>
    </xf>
    <xf numFmtId="0" fontId="7" fillId="0" borderId="2" xfId="1" applyNumberFormat="1" applyFont="1" applyBorder="1" applyAlignment="1">
      <alignment horizontal="center"/>
    </xf>
    <xf numFmtId="0" fontId="7" fillId="3" borderId="2" xfId="1" applyNumberFormat="1" applyFont="1" applyFill="1" applyBorder="1" applyAlignment="1">
      <alignment horizontal="center"/>
    </xf>
    <xf numFmtId="166" fontId="6" fillId="0" borderId="4" xfId="1" applyNumberFormat="1" applyFont="1" applyBorder="1" applyAlignment="1"/>
    <xf numFmtId="17" fontId="2" fillId="0" borderId="5" xfId="1" applyNumberFormat="1" applyFont="1" applyBorder="1" applyAlignment="1">
      <alignment horizontal="center"/>
    </xf>
    <xf numFmtId="9" fontId="2" fillId="3" borderId="5" xfId="1" applyNumberFormat="1" applyFont="1" applyFill="1" applyBorder="1" applyAlignment="1">
      <alignment horizontal="center"/>
    </xf>
    <xf numFmtId="166" fontId="2" fillId="0" borderId="4" xfId="1" applyNumberFormat="1" applyFont="1" applyBorder="1" applyAlignment="1"/>
    <xf numFmtId="0" fontId="2" fillId="0" borderId="5" xfId="1" applyNumberFormat="1" applyFont="1" applyBorder="1" applyAlignment="1">
      <alignment horizontal="center"/>
    </xf>
    <xf numFmtId="166" fontId="6" fillId="2" borderId="1" xfId="1" applyNumberFormat="1" applyFont="1" applyFill="1" applyBorder="1" applyAlignment="1"/>
    <xf numFmtId="9" fontId="6" fillId="3" borderId="2" xfId="1" applyNumberFormat="1" applyFont="1" applyFill="1" applyBorder="1" applyAlignment="1">
      <alignment horizontal="center"/>
    </xf>
    <xf numFmtId="166" fontId="2" fillId="0" borderId="1" xfId="1" applyNumberFormat="1" applyFont="1" applyBorder="1" applyAlignment="1"/>
    <xf numFmtId="0" fontId="2" fillId="0" borderId="2" xfId="1" applyNumberFormat="1" applyFont="1" applyBorder="1" applyAlignment="1">
      <alignment horizontal="center"/>
    </xf>
    <xf numFmtId="9" fontId="2" fillId="3" borderId="2" xfId="1" applyNumberFormat="1" applyFont="1" applyFill="1" applyBorder="1" applyAlignment="1">
      <alignment horizontal="center"/>
    </xf>
    <xf numFmtId="166" fontId="6" fillId="2" borderId="7" xfId="1" applyNumberFormat="1" applyFont="1" applyFill="1" applyBorder="1" applyAlignment="1"/>
    <xf numFmtId="0" fontId="6" fillId="2" borderId="8" xfId="1" applyNumberFormat="1" applyFont="1" applyFill="1" applyBorder="1" applyAlignment="1">
      <alignment horizontal="center"/>
    </xf>
    <xf numFmtId="9" fontId="6" fillId="3" borderId="8" xfId="1" applyNumberFormat="1" applyFont="1" applyFill="1" applyBorder="1" applyAlignment="1">
      <alignment horizontal="center"/>
    </xf>
    <xf numFmtId="0" fontId="6" fillId="0" borderId="4" xfId="1" applyNumberFormat="1" applyFont="1" applyBorder="1" applyAlignment="1"/>
    <xf numFmtId="17" fontId="6" fillId="2" borderId="8" xfId="1" applyNumberFormat="1" applyFont="1" applyFill="1" applyBorder="1" applyAlignment="1">
      <alignment horizontal="center"/>
    </xf>
    <xf numFmtId="0" fontId="2" fillId="0" borderId="5" xfId="1" applyBorder="1"/>
    <xf numFmtId="0" fontId="2" fillId="3" borderId="5" xfId="1" applyFont="1" applyFill="1" applyBorder="1" applyAlignment="1"/>
    <xf numFmtId="0" fontId="2" fillId="2" borderId="8" xfId="1" applyNumberFormat="1" applyFont="1" applyFill="1" applyBorder="1" applyAlignment="1">
      <alignment horizontal="center"/>
    </xf>
    <xf numFmtId="166" fontId="6" fillId="2" borderId="12" xfId="1" applyNumberFormat="1" applyFont="1" applyFill="1" applyBorder="1" applyAlignment="1"/>
    <xf numFmtId="0" fontId="6" fillId="2" borderId="10" xfId="1" applyNumberFormat="1" applyFont="1" applyFill="1" applyBorder="1" applyAlignment="1">
      <alignment horizontal="center"/>
    </xf>
    <xf numFmtId="166" fontId="6" fillId="2" borderId="1" xfId="1" applyNumberFormat="1" applyFont="1" applyFill="1" applyBorder="1" applyAlignment="1">
      <alignment horizontal="center"/>
    </xf>
    <xf numFmtId="166" fontId="6" fillId="0" borderId="13" xfId="1" applyNumberFormat="1" applyFont="1" applyBorder="1" applyAlignment="1"/>
    <xf numFmtId="0" fontId="6" fillId="0" borderId="13" xfId="1" applyNumberFormat="1" applyFont="1" applyBorder="1" applyAlignment="1">
      <alignment horizontal="center"/>
    </xf>
    <xf numFmtId="4" fontId="6" fillId="0" borderId="13" xfId="1" applyNumberFormat="1" applyFont="1" applyBorder="1" applyAlignment="1">
      <alignment horizontal="center"/>
    </xf>
    <xf numFmtId="0" fontId="9" fillId="0" borderId="0" xfId="1" applyNumberFormat="1" applyFont="1" applyAlignment="1"/>
    <xf numFmtId="17" fontId="6" fillId="0" borderId="0" xfId="1" applyNumberFormat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6" fillId="0" borderId="0" xfId="1" applyNumberFormat="1" applyFont="1" applyAlignment="1"/>
    <xf numFmtId="3" fontId="0" fillId="0" borderId="0" xfId="0" applyNumberFormat="1" applyFont="1" applyAlignment="1"/>
    <xf numFmtId="3" fontId="5" fillId="2" borderId="2" xfId="0" applyNumberFormat="1" applyFont="1" applyFill="1" applyBorder="1" applyAlignment="1">
      <alignment horizontal="center"/>
    </xf>
    <xf numFmtId="3" fontId="5" fillId="2" borderId="5" xfId="0" applyNumberFormat="1" applyFont="1" applyFill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3" fontId="0" fillId="0" borderId="2" xfId="0" applyNumberFormat="1" applyBorder="1"/>
    <xf numFmtId="3" fontId="0" fillId="0" borderId="5" xfId="0" applyNumberFormat="1" applyBorder="1"/>
    <xf numFmtId="3" fontId="6" fillId="0" borderId="0" xfId="0" applyNumberFormat="1" applyFont="1" applyAlignment="1"/>
    <xf numFmtId="3" fontId="0" fillId="0" borderId="0" xfId="0" applyNumberFormat="1" applyFont="1" applyAlignment="1" applyProtection="1">
      <protection locked="0"/>
    </xf>
    <xf numFmtId="3" fontId="2" fillId="0" borderId="0" xfId="2" applyNumberFormat="1" applyFont="1" applyAlignment="1"/>
    <xf numFmtId="3" fontId="6" fillId="2" borderId="2" xfId="2" applyNumberFormat="1" applyFont="1" applyFill="1" applyBorder="1" applyAlignment="1">
      <alignment horizontal="center"/>
    </xf>
    <xf numFmtId="3" fontId="6" fillId="2" borderId="16" xfId="2" applyNumberFormat="1" applyFont="1" applyFill="1" applyBorder="1" applyAlignment="1">
      <alignment horizontal="center"/>
    </xf>
    <xf numFmtId="3" fontId="7" fillId="0" borderId="5" xfId="2" applyNumberFormat="1" applyFont="1" applyBorder="1" applyAlignment="1">
      <alignment horizontal="center"/>
    </xf>
    <xf numFmtId="3" fontId="2" fillId="0" borderId="5" xfId="2" applyNumberFormat="1" applyFont="1" applyBorder="1" applyAlignment="1">
      <alignment horizontal="center"/>
    </xf>
    <xf numFmtId="3" fontId="2" fillId="0" borderId="2" xfId="2" applyNumberFormat="1" applyFont="1" applyBorder="1" applyAlignment="1">
      <alignment horizontal="center"/>
    </xf>
    <xf numFmtId="3" fontId="6" fillId="2" borderId="8" xfId="2" applyNumberFormat="1" applyFont="1" applyFill="1" applyBorder="1" applyAlignment="1">
      <alignment horizontal="center"/>
    </xf>
    <xf numFmtId="3" fontId="6" fillId="2" borderId="10" xfId="2" applyNumberFormat="1" applyFont="1" applyFill="1" applyBorder="1" applyAlignment="1">
      <alignment horizontal="center"/>
    </xf>
    <xf numFmtId="3" fontId="6" fillId="0" borderId="0" xfId="2" applyNumberFormat="1" applyFont="1" applyAlignment="1"/>
    <xf numFmtId="3" fontId="2" fillId="0" borderId="0" xfId="2" applyNumberFormat="1" applyAlignment="1"/>
    <xf numFmtId="167" fontId="2" fillId="0" borderId="0" xfId="2" applyNumberFormat="1" applyFont="1" applyAlignment="1"/>
    <xf numFmtId="167" fontId="6" fillId="0" borderId="0" xfId="2" applyNumberFormat="1" applyFont="1" applyAlignment="1">
      <alignment horizontal="center"/>
    </xf>
    <xf numFmtId="167" fontId="6" fillId="2" borderId="2" xfId="2" applyNumberFormat="1" applyFont="1" applyFill="1" applyBorder="1" applyAlignment="1">
      <alignment horizontal="center"/>
    </xf>
    <xf numFmtId="167" fontId="6" fillId="2" borderId="17" xfId="2" applyNumberFormat="1" applyFont="1" applyFill="1" applyBorder="1" applyAlignment="1">
      <alignment horizontal="center"/>
    </xf>
    <xf numFmtId="167" fontId="7" fillId="0" borderId="6" xfId="2" applyNumberFormat="1" applyFont="1" applyBorder="1" applyAlignment="1">
      <alignment horizontal="center"/>
    </xf>
    <xf numFmtId="167" fontId="2" fillId="0" borderId="5" xfId="2" applyNumberFormat="1" applyFont="1" applyBorder="1" applyAlignment="1">
      <alignment horizontal="center"/>
    </xf>
    <xf numFmtId="167" fontId="2" fillId="0" borderId="2" xfId="2" applyNumberFormat="1" applyFont="1" applyBorder="1" applyAlignment="1">
      <alignment horizontal="center"/>
    </xf>
    <xf numFmtId="167" fontId="6" fillId="2" borderId="9" xfId="2" applyNumberFormat="1" applyFont="1" applyFill="1" applyBorder="1" applyAlignment="1">
      <alignment horizontal="center"/>
    </xf>
    <xf numFmtId="167" fontId="2" fillId="0" borderId="6" xfId="2" applyNumberFormat="1" applyFont="1" applyBorder="1" applyAlignment="1">
      <alignment horizontal="center"/>
    </xf>
    <xf numFmtId="167" fontId="2" fillId="0" borderId="3" xfId="2" applyNumberFormat="1" applyFont="1" applyBorder="1" applyAlignment="1">
      <alignment horizontal="center"/>
    </xf>
    <xf numFmtId="167" fontId="6" fillId="0" borderId="0" xfId="2" applyNumberFormat="1" applyFont="1" applyAlignment="1"/>
    <xf numFmtId="167" fontId="2" fillId="0" borderId="0" xfId="2" applyNumberFormat="1" applyAlignment="1"/>
    <xf numFmtId="3" fontId="2" fillId="0" borderId="0" xfId="1" applyNumberFormat="1" applyFont="1" applyAlignment="1"/>
    <xf numFmtId="3" fontId="6" fillId="2" borderId="2" xfId="1" applyNumberFormat="1" applyFont="1" applyFill="1" applyBorder="1" applyAlignment="1">
      <alignment horizontal="center"/>
    </xf>
    <xf numFmtId="3" fontId="6" fillId="2" borderId="5" xfId="1" applyNumberFormat="1" applyFont="1" applyFill="1" applyBorder="1" applyAlignment="1">
      <alignment horizontal="center"/>
    </xf>
    <xf numFmtId="3" fontId="7" fillId="0" borderId="2" xfId="1" applyNumberFormat="1" applyFont="1" applyBorder="1" applyAlignment="1">
      <alignment horizontal="center"/>
    </xf>
    <xf numFmtId="3" fontId="2" fillId="0" borderId="5" xfId="1" applyNumberFormat="1" applyFont="1" applyBorder="1" applyAlignment="1">
      <alignment horizontal="center"/>
    </xf>
    <xf numFmtId="3" fontId="2" fillId="0" borderId="2" xfId="1" applyNumberFormat="1" applyFont="1" applyBorder="1" applyAlignment="1">
      <alignment horizontal="center"/>
    </xf>
    <xf numFmtId="3" fontId="6" fillId="2" borderId="8" xfId="1" applyNumberFormat="1" applyFont="1" applyFill="1" applyBorder="1" applyAlignment="1">
      <alignment horizontal="center"/>
    </xf>
    <xf numFmtId="3" fontId="2" fillId="0" borderId="5" xfId="1" applyNumberFormat="1" applyBorder="1"/>
    <xf numFmtId="3" fontId="6" fillId="2" borderId="10" xfId="1" applyNumberFormat="1" applyFont="1" applyFill="1" applyBorder="1" applyAlignment="1">
      <alignment horizontal="center"/>
    </xf>
    <xf numFmtId="3" fontId="6" fillId="0" borderId="13" xfId="1" applyNumberFormat="1" applyFont="1" applyBorder="1" applyAlignment="1">
      <alignment horizontal="center"/>
    </xf>
    <xf numFmtId="3" fontId="6" fillId="0" borderId="0" xfId="1" applyNumberFormat="1" applyFont="1" applyAlignment="1">
      <alignment horizontal="center"/>
    </xf>
    <xf numFmtId="3" fontId="2" fillId="0" borderId="0" xfId="1" applyNumberFormat="1" applyAlignment="1"/>
    <xf numFmtId="167" fontId="2" fillId="0" borderId="0" xfId="1" applyNumberFormat="1" applyFont="1" applyAlignment="1"/>
    <xf numFmtId="167" fontId="6" fillId="0" borderId="0" xfId="1" applyNumberFormat="1" applyFont="1" applyAlignment="1">
      <alignment horizontal="centerContinuous"/>
    </xf>
    <xf numFmtId="167" fontId="6" fillId="2" borderId="2" xfId="1" applyNumberFormat="1" applyFont="1" applyFill="1" applyBorder="1" applyAlignment="1">
      <alignment horizontal="center"/>
    </xf>
    <xf numFmtId="167" fontId="6" fillId="2" borderId="3" xfId="1" applyNumberFormat="1" applyFont="1" applyFill="1" applyBorder="1" applyAlignment="1">
      <alignment horizontal="center"/>
    </xf>
    <xf numFmtId="167" fontId="6" fillId="2" borderId="5" xfId="1" applyNumberFormat="1" applyFont="1" applyFill="1" applyBorder="1" applyAlignment="1">
      <alignment horizontal="center"/>
    </xf>
    <xf numFmtId="167" fontId="7" fillId="0" borderId="2" xfId="1" applyNumberFormat="1" applyFont="1" applyBorder="1" applyAlignment="1">
      <alignment horizontal="center"/>
    </xf>
    <xf numFmtId="167" fontId="7" fillId="0" borderId="3" xfId="1" applyNumberFormat="1" applyFont="1" applyBorder="1" applyAlignment="1">
      <alignment horizontal="center"/>
    </xf>
    <xf numFmtId="167" fontId="2" fillId="0" borderId="5" xfId="1" applyNumberFormat="1" applyFont="1" applyBorder="1" applyAlignment="1">
      <alignment horizontal="center"/>
    </xf>
    <xf numFmtId="167" fontId="2" fillId="0" borderId="6" xfId="1" applyNumberFormat="1" applyFont="1" applyBorder="1" applyAlignment="1">
      <alignment horizontal="center"/>
    </xf>
    <xf numFmtId="167" fontId="2" fillId="0" borderId="2" xfId="1" applyNumberFormat="1" applyFont="1" applyBorder="1" applyAlignment="1">
      <alignment horizontal="center"/>
    </xf>
    <xf numFmtId="167" fontId="2" fillId="0" borderId="3" xfId="1" applyNumberFormat="1" applyFont="1" applyBorder="1" applyAlignment="1">
      <alignment horizontal="center"/>
    </xf>
    <xf numFmtId="167" fontId="6" fillId="2" borderId="8" xfId="1" applyNumberFormat="1" applyFont="1" applyFill="1" applyBorder="1" applyAlignment="1">
      <alignment horizontal="center"/>
    </xf>
    <xf numFmtId="167" fontId="6" fillId="2" borderId="9" xfId="1" applyNumberFormat="1" applyFont="1" applyFill="1" applyBorder="1" applyAlignment="1">
      <alignment horizontal="center"/>
    </xf>
    <xf numFmtId="167" fontId="2" fillId="0" borderId="5" xfId="1" applyNumberFormat="1" applyBorder="1"/>
    <xf numFmtId="167" fontId="2" fillId="0" borderId="6" xfId="1" applyNumberFormat="1" applyBorder="1"/>
    <xf numFmtId="167" fontId="6" fillId="2" borderId="10" xfId="1" applyNumberFormat="1" applyFont="1" applyFill="1" applyBorder="1" applyAlignment="1">
      <alignment horizontal="center"/>
    </xf>
    <xf numFmtId="167" fontId="6" fillId="0" borderId="13" xfId="1" applyNumberFormat="1" applyFont="1" applyBorder="1" applyAlignment="1">
      <alignment horizontal="center"/>
    </xf>
    <xf numFmtId="167" fontId="6" fillId="0" borderId="0" xfId="1" applyNumberFormat="1" applyFont="1" applyAlignment="1">
      <alignment horizontal="center"/>
    </xf>
    <xf numFmtId="167" fontId="2" fillId="0" borderId="0" xfId="1" applyNumberFormat="1" applyAlignment="1"/>
    <xf numFmtId="167" fontId="6" fillId="2" borderId="3" xfId="1" applyNumberFormat="1" applyFont="1" applyFill="1" applyBorder="1" applyAlignment="1"/>
    <xf numFmtId="167" fontId="6" fillId="2" borderId="6" xfId="1" applyNumberFormat="1" applyFont="1" applyFill="1" applyBorder="1" applyAlignment="1"/>
    <xf numFmtId="166" fontId="6" fillId="0" borderId="18" xfId="2" applyNumberFormat="1" applyFont="1" applyBorder="1" applyAlignment="1"/>
    <xf numFmtId="166" fontId="6" fillId="0" borderId="0" xfId="1" applyNumberFormat="1" applyFont="1" applyBorder="1" applyAlignment="1"/>
    <xf numFmtId="167" fontId="6" fillId="0" borderId="0" xfId="1" applyNumberFormat="1" applyFont="1" applyBorder="1" applyAlignment="1">
      <alignment horizontal="center"/>
    </xf>
    <xf numFmtId="0" fontId="6" fillId="0" borderId="0" xfId="1" applyNumberFormat="1" applyFont="1" applyBorder="1" applyAlignment="1">
      <alignment horizontal="center"/>
    </xf>
    <xf numFmtId="3" fontId="6" fillId="0" borderId="0" xfId="1" applyNumberFormat="1" applyFont="1" applyBorder="1" applyAlignment="1">
      <alignment horizontal="center"/>
    </xf>
    <xf numFmtId="4" fontId="6" fillId="0" borderId="0" xfId="1" applyNumberFormat="1" applyFont="1" applyBorder="1" applyAlignment="1">
      <alignment horizontal="center"/>
    </xf>
    <xf numFmtId="3" fontId="6" fillId="2" borderId="11" xfId="2" applyNumberFormat="1" applyFont="1" applyFill="1" applyBorder="1" applyAlignment="1">
      <alignment horizontal="center"/>
    </xf>
    <xf numFmtId="3" fontId="6" fillId="2" borderId="19" xfId="2" applyNumberFormat="1" applyFont="1" applyFill="1" applyBorder="1" applyAlignment="1">
      <alignment horizontal="center"/>
    </xf>
    <xf numFmtId="166" fontId="10" fillId="0" borderId="0" xfId="2" applyNumberFormat="1" applyFont="1" applyAlignment="1"/>
    <xf numFmtId="166" fontId="10" fillId="0" borderId="0" xfId="0" applyNumberFormat="1" applyFont="1" applyAlignment="1"/>
    <xf numFmtId="166" fontId="6" fillId="2" borderId="7" xfId="2" applyNumberFormat="1" applyFont="1" applyFill="1" applyBorder="1" applyAlignment="1">
      <alignment horizontal="center"/>
    </xf>
    <xf numFmtId="0" fontId="6" fillId="2" borderId="8" xfId="2" applyNumberFormat="1" applyFont="1" applyFill="1" applyBorder="1" applyAlignment="1">
      <alignment horizontal="center"/>
    </xf>
    <xf numFmtId="167" fontId="6" fillId="2" borderId="20" xfId="2" applyNumberFormat="1" applyFont="1" applyFill="1" applyBorder="1" applyAlignment="1">
      <alignment horizontal="center"/>
    </xf>
    <xf numFmtId="9" fontId="6" fillId="3" borderId="10" xfId="2" applyNumberFormat="1" applyFont="1" applyFill="1" applyBorder="1" applyAlignment="1">
      <alignment horizontal="center"/>
    </xf>
    <xf numFmtId="9" fontId="6" fillId="3" borderId="21" xfId="2" applyNumberFormat="1" applyFont="1" applyFill="1" applyBorder="1" applyAlignment="1">
      <alignment horizontal="center"/>
    </xf>
    <xf numFmtId="167" fontId="6" fillId="2" borderId="20" xfId="1" applyNumberFormat="1" applyFont="1" applyFill="1" applyBorder="1" applyAlignment="1">
      <alignment horizontal="center"/>
    </xf>
    <xf numFmtId="3" fontId="6" fillId="2" borderId="11" xfId="1" applyNumberFormat="1" applyFont="1" applyFill="1" applyBorder="1" applyAlignment="1">
      <alignment horizontal="center"/>
    </xf>
    <xf numFmtId="9" fontId="6" fillId="3" borderId="10" xfId="1" applyNumberFormat="1" applyFont="1" applyFill="1" applyBorder="1" applyAlignment="1">
      <alignment horizontal="center"/>
    </xf>
    <xf numFmtId="166" fontId="6" fillId="2" borderId="4" xfId="0" applyNumberFormat="1" applyFont="1" applyFill="1" applyBorder="1" applyAlignment="1"/>
    <xf numFmtId="166" fontId="11" fillId="0" borderId="4" xfId="0" applyNumberFormat="1" applyFont="1" applyBorder="1" applyAlignment="1"/>
    <xf numFmtId="0" fontId="12" fillId="3" borderId="4" xfId="3" applyFont="1" applyFill="1" applyBorder="1" applyAlignment="1">
      <alignment horizontal="center"/>
    </xf>
    <xf numFmtId="0" fontId="11" fillId="3" borderId="4" xfId="3" applyFont="1" applyFill="1" applyBorder="1" applyAlignment="1">
      <alignment horizontal="center"/>
    </xf>
    <xf numFmtId="0" fontId="13" fillId="0" borderId="0" xfId="0" applyNumberFormat="1" applyFont="1" applyAlignment="1"/>
    <xf numFmtId="0" fontId="14" fillId="0" borderId="0" xfId="0" applyNumberFormat="1" applyFont="1" applyAlignment="1"/>
    <xf numFmtId="9" fontId="11" fillId="3" borderId="2" xfId="0" applyNumberFormat="1" applyFont="1" applyFill="1" applyBorder="1" applyAlignment="1">
      <alignment horizontal="center"/>
    </xf>
    <xf numFmtId="9" fontId="11" fillId="3" borderId="8" xfId="0" applyNumberFormat="1" applyFont="1" applyFill="1" applyBorder="1" applyAlignment="1">
      <alignment horizontal="center"/>
    </xf>
    <xf numFmtId="9" fontId="11" fillId="3" borderId="10" xfId="0" applyNumberFormat="1" applyFont="1" applyFill="1" applyBorder="1" applyAlignment="1">
      <alignment horizontal="center"/>
    </xf>
    <xf numFmtId="0" fontId="15" fillId="0" borderId="0" xfId="3" applyFont="1" applyAlignment="1"/>
    <xf numFmtId="0" fontId="13" fillId="0" borderId="0" xfId="2" applyNumberFormat="1" applyFont="1" applyAlignment="1"/>
    <xf numFmtId="0" fontId="14" fillId="0" borderId="0" xfId="2" applyNumberFormat="1" applyFont="1" applyAlignment="1"/>
    <xf numFmtId="0" fontId="13" fillId="0" borderId="0" xfId="1" applyNumberFormat="1" applyFont="1" applyAlignment="1"/>
    <xf numFmtId="0" fontId="14" fillId="0" borderId="0" xfId="1" applyNumberFormat="1" applyFont="1" applyAlignment="1"/>
    <xf numFmtId="4" fontId="2" fillId="0" borderId="0" xfId="3" applyNumberFormat="1" applyFont="1" applyBorder="1" applyAlignment="1">
      <alignment horizontal="center"/>
    </xf>
    <xf numFmtId="4" fontId="16" fillId="0" borderId="0" xfId="3" applyNumberFormat="1" applyFont="1" applyBorder="1" applyAlignment="1">
      <alignment horizontal="left"/>
    </xf>
  </cellXfs>
  <cellStyles count="4">
    <cellStyle name="Normal" xfId="0" builtinId="0"/>
    <cellStyle name="Normal_SLOT STATS" xfId="1"/>
    <cellStyle name="Normal_TABLE STATS" xfId="2"/>
    <cellStyle name="Normal_YTD TAXES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R478"/>
  <sheetViews>
    <sheetView tabSelected="1" showOutlineSymbols="0" zoomScaleNormal="100" workbookViewId="0">
      <selection activeCell="A5" sqref="A5"/>
    </sheetView>
  </sheetViews>
  <sheetFormatPr defaultColWidth="9.6640625" defaultRowHeight="15" x14ac:dyDescent="0.2"/>
  <cols>
    <col min="1" max="1" width="22.44140625" style="3" customWidth="1"/>
    <col min="2" max="2" width="8.6640625" style="3" customWidth="1"/>
    <col min="3" max="4" width="13.6640625" style="3" customWidth="1"/>
    <col min="5" max="5" width="7.6640625" style="3" customWidth="1"/>
    <col min="6" max="7" width="13.6640625" style="3" customWidth="1"/>
    <col min="8" max="8" width="7.6640625" style="3" customWidth="1"/>
    <col min="9" max="10" width="11.6640625" style="3" customWidth="1"/>
    <col min="11" max="12" width="16.6640625" style="199" customWidth="1"/>
    <col min="13" max="13" width="7.6640625" style="3" customWidth="1"/>
    <col min="14" max="14" width="11.6640625" style="3" customWidth="1"/>
    <col min="15" max="15" width="7.6640625" style="3" customWidth="1"/>
    <col min="16" max="16" width="15.6640625" style="3" customWidth="1"/>
    <col min="17" max="17" width="7.6640625" style="3" customWidth="1"/>
    <col min="18" max="16384" width="9.6640625" style="3"/>
  </cols>
  <sheetData>
    <row r="1" spans="1:18" ht="18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92"/>
      <c r="L1" s="192"/>
      <c r="M1" s="2"/>
      <c r="N1" s="2"/>
      <c r="O1" s="2"/>
      <c r="P1" s="2"/>
      <c r="Q1" s="2"/>
      <c r="R1" s="2"/>
    </row>
    <row r="2" spans="1:18" ht="18" customHeight="1" x14ac:dyDescent="0.3">
      <c r="A2" s="4" t="s">
        <v>68</v>
      </c>
      <c r="B2" s="2"/>
      <c r="C2" s="2"/>
      <c r="D2" s="2"/>
      <c r="E2" s="2"/>
      <c r="F2" s="2"/>
      <c r="G2" s="2"/>
      <c r="H2" s="2"/>
      <c r="I2" s="2"/>
      <c r="J2" s="2"/>
      <c r="K2" s="192"/>
      <c r="L2" s="192"/>
      <c r="M2" s="2"/>
      <c r="N2" s="2"/>
      <c r="O2" s="2"/>
      <c r="P2" s="2"/>
      <c r="Q2" s="2"/>
      <c r="R2" s="2"/>
    </row>
    <row r="3" spans="1:18" ht="18" x14ac:dyDescent="0.25">
      <c r="A3" s="277" t="s">
        <v>69</v>
      </c>
      <c r="B3" s="2"/>
      <c r="C3" s="2"/>
      <c r="D3" s="2"/>
      <c r="E3" s="2"/>
      <c r="F3" s="2"/>
      <c r="G3" s="2"/>
      <c r="H3" s="2"/>
      <c r="I3" s="2"/>
      <c r="J3" s="2"/>
      <c r="K3" s="192"/>
      <c r="L3" s="192"/>
      <c r="M3" s="2"/>
      <c r="N3" s="2"/>
      <c r="O3" s="2"/>
      <c r="P3" s="2"/>
      <c r="Q3" s="2"/>
      <c r="R3" s="2"/>
    </row>
    <row r="4" spans="1:18" x14ac:dyDescent="0.2">
      <c r="A4" s="278" t="s">
        <v>70</v>
      </c>
      <c r="B4" s="2"/>
      <c r="C4" s="2"/>
      <c r="D4" s="2"/>
      <c r="E4" s="2"/>
      <c r="F4" s="2"/>
      <c r="G4" s="2"/>
      <c r="H4" s="2"/>
      <c r="I4" s="2"/>
      <c r="J4" s="2"/>
      <c r="K4" s="192"/>
      <c r="L4" s="192"/>
      <c r="M4" s="2"/>
      <c r="N4" s="2"/>
      <c r="O4" s="2"/>
      <c r="P4" s="2"/>
      <c r="Q4" s="2"/>
      <c r="R4" s="2"/>
    </row>
    <row r="5" spans="1:18" ht="15.75" thickBot="1" x14ac:dyDescent="0.25">
      <c r="A5" s="2"/>
      <c r="B5" s="2"/>
      <c r="C5" s="2"/>
      <c r="D5" s="2"/>
      <c r="E5" s="2"/>
      <c r="F5" s="2"/>
      <c r="G5" s="2"/>
      <c r="H5" s="2"/>
      <c r="I5" s="5" t="s">
        <v>1</v>
      </c>
      <c r="J5" s="5" t="s">
        <v>1</v>
      </c>
      <c r="K5" s="192"/>
      <c r="L5" s="192"/>
      <c r="M5" s="2"/>
      <c r="N5" s="2"/>
      <c r="O5" s="2"/>
      <c r="P5" s="2"/>
      <c r="Q5" s="2"/>
      <c r="R5" s="2"/>
    </row>
    <row r="6" spans="1:18" ht="16.5" thickTop="1" x14ac:dyDescent="0.25">
      <c r="A6" s="6"/>
      <c r="B6" s="7" t="s">
        <v>2</v>
      </c>
      <c r="C6" s="7" t="s">
        <v>1</v>
      </c>
      <c r="D6" s="7" t="s">
        <v>3</v>
      </c>
      <c r="E6" s="8"/>
      <c r="F6" s="7" t="s">
        <v>1</v>
      </c>
      <c r="G6" s="7" t="s">
        <v>3</v>
      </c>
      <c r="H6" s="8"/>
      <c r="I6" s="7" t="s">
        <v>4</v>
      </c>
      <c r="J6" s="7" t="s">
        <v>4</v>
      </c>
      <c r="K6" s="193" t="s">
        <v>1</v>
      </c>
      <c r="L6" s="193" t="s">
        <v>3</v>
      </c>
      <c r="M6" s="9"/>
      <c r="N6" s="10"/>
      <c r="R6" s="2"/>
    </row>
    <row r="7" spans="1:18" ht="16.5" thickBot="1" x14ac:dyDescent="0.3">
      <c r="A7" s="11" t="s">
        <v>5</v>
      </c>
      <c r="B7" s="12" t="s">
        <v>6</v>
      </c>
      <c r="C7" s="12" t="s">
        <v>7</v>
      </c>
      <c r="D7" s="12" t="s">
        <v>7</v>
      </c>
      <c r="E7" s="13" t="s">
        <v>8</v>
      </c>
      <c r="F7" s="12" t="s">
        <v>9</v>
      </c>
      <c r="G7" s="12" t="s">
        <v>9</v>
      </c>
      <c r="H7" s="13" t="s">
        <v>8</v>
      </c>
      <c r="I7" s="12" t="s">
        <v>10</v>
      </c>
      <c r="J7" s="12" t="s">
        <v>11</v>
      </c>
      <c r="K7" s="194" t="s">
        <v>12</v>
      </c>
      <c r="L7" s="194" t="s">
        <v>12</v>
      </c>
      <c r="M7" s="14" t="s">
        <v>8</v>
      </c>
      <c r="N7" s="10"/>
      <c r="R7" s="2"/>
    </row>
    <row r="8" spans="1:18" ht="15.75" customHeight="1" thickTop="1" x14ac:dyDescent="0.25">
      <c r="A8" s="15"/>
      <c r="B8" s="16"/>
      <c r="C8" s="16"/>
      <c r="D8" s="16"/>
      <c r="E8" s="17"/>
      <c r="F8" s="16"/>
      <c r="G8" s="16"/>
      <c r="H8" s="17"/>
      <c r="I8" s="16"/>
      <c r="J8" s="16"/>
      <c r="K8" s="195"/>
      <c r="L8" s="195"/>
      <c r="M8" s="18"/>
      <c r="N8" s="10"/>
      <c r="R8" s="2"/>
    </row>
    <row r="9" spans="1:18" ht="15.75" x14ac:dyDescent="0.25">
      <c r="A9" s="19" t="s">
        <v>13</v>
      </c>
      <c r="B9" s="20">
        <f>DATE(2018,7,1)</f>
        <v>43282</v>
      </c>
      <c r="C9" s="21">
        <v>261456</v>
      </c>
      <c r="D9" s="22">
        <v>295047</v>
      </c>
      <c r="E9" s="23">
        <f t="shared" ref="E9:E20" si="0">(+C9-D9)/D9</f>
        <v>-0.11384965785112203</v>
      </c>
      <c r="F9" s="21">
        <f>+C9-122888</f>
        <v>138568</v>
      </c>
      <c r="G9" s="21">
        <f>+D9-138811</f>
        <v>156236</v>
      </c>
      <c r="H9" s="23">
        <f t="shared" ref="H9:H20" si="1">(+F9-G9)/G9</f>
        <v>-0.11308533244578714</v>
      </c>
      <c r="I9" s="24">
        <f t="shared" ref="I9:I20" si="2">K9/C9</f>
        <v>51.156026597209475</v>
      </c>
      <c r="J9" s="24">
        <f t="shared" ref="J9:J20" si="3">K9/F9</f>
        <v>96.523368237977024</v>
      </c>
      <c r="K9" s="21">
        <v>13375050.09</v>
      </c>
      <c r="L9" s="21">
        <v>14143686.630000001</v>
      </c>
      <c r="M9" s="25">
        <f t="shared" ref="M9:M20" si="4">(+K9-L9)/L9</f>
        <v>-5.4344850823381183E-2</v>
      </c>
      <c r="N9" s="10"/>
      <c r="R9" s="2"/>
    </row>
    <row r="10" spans="1:18" ht="15.75" x14ac:dyDescent="0.25">
      <c r="A10" s="19"/>
      <c r="B10" s="20">
        <f>DATE(2018,8,1)</f>
        <v>43313</v>
      </c>
      <c r="C10" s="21">
        <v>266367</v>
      </c>
      <c r="D10" s="22">
        <v>268688</v>
      </c>
      <c r="E10" s="23">
        <f t="shared" si="0"/>
        <v>-8.6382718990055379E-3</v>
      </c>
      <c r="F10" s="21">
        <f>+C10-122166</f>
        <v>144201</v>
      </c>
      <c r="G10" s="21">
        <f>+D10-125473</f>
        <v>143215</v>
      </c>
      <c r="H10" s="23">
        <f t="shared" si="1"/>
        <v>6.8847536920015363E-3</v>
      </c>
      <c r="I10" s="24">
        <f t="shared" si="2"/>
        <v>52.401017543464469</v>
      </c>
      <c r="J10" s="24">
        <f t="shared" si="3"/>
        <v>96.794764530065677</v>
      </c>
      <c r="K10" s="21">
        <v>13957901.84</v>
      </c>
      <c r="L10" s="21">
        <v>13000027.539999999</v>
      </c>
      <c r="M10" s="25">
        <f t="shared" si="4"/>
        <v>7.3682482368033569E-2</v>
      </c>
      <c r="N10" s="10"/>
      <c r="R10" s="2"/>
    </row>
    <row r="11" spans="1:18" ht="15.75" x14ac:dyDescent="0.25">
      <c r="A11" s="19"/>
      <c r="B11" s="20">
        <f>DATE(2018,9,1)</f>
        <v>43344</v>
      </c>
      <c r="C11" s="21">
        <v>263613</v>
      </c>
      <c r="D11" s="22">
        <v>281607</v>
      </c>
      <c r="E11" s="23">
        <f t="shared" si="0"/>
        <v>-6.3897559364646472E-2</v>
      </c>
      <c r="F11" s="21">
        <f>+C11-122145</f>
        <v>141468</v>
      </c>
      <c r="G11" s="21">
        <f>+D11-134639</f>
        <v>146968</v>
      </c>
      <c r="H11" s="23">
        <f t="shared" si="1"/>
        <v>-3.7423112514288828E-2</v>
      </c>
      <c r="I11" s="24">
        <f t="shared" si="2"/>
        <v>51.348386839799254</v>
      </c>
      <c r="J11" s="24">
        <f t="shared" si="3"/>
        <v>95.68313894308254</v>
      </c>
      <c r="K11" s="21">
        <v>13536102.300000001</v>
      </c>
      <c r="L11" s="21">
        <v>13577167.09</v>
      </c>
      <c r="M11" s="25">
        <f t="shared" si="4"/>
        <v>-3.0245477372260214E-3</v>
      </c>
      <c r="N11" s="10"/>
      <c r="R11" s="2"/>
    </row>
    <row r="12" spans="1:18" ht="15.75" x14ac:dyDescent="0.25">
      <c r="A12" s="19"/>
      <c r="B12" s="20">
        <f>DATE(2018,10,1)</f>
        <v>43374</v>
      </c>
      <c r="C12" s="21">
        <v>264243</v>
      </c>
      <c r="D12" s="22">
        <v>266701</v>
      </c>
      <c r="E12" s="23">
        <f t="shared" si="0"/>
        <v>-9.2163133996497944E-3</v>
      </c>
      <c r="F12" s="21">
        <f>+C12-121413</f>
        <v>142830</v>
      </c>
      <c r="G12" s="21">
        <f>+D12-124344</f>
        <v>142357</v>
      </c>
      <c r="H12" s="23">
        <f t="shared" si="1"/>
        <v>3.3226325365103226E-3</v>
      </c>
      <c r="I12" s="24">
        <f t="shared" si="2"/>
        <v>52.850075044561258</v>
      </c>
      <c r="J12" s="24">
        <f t="shared" si="3"/>
        <v>97.775413988657846</v>
      </c>
      <c r="K12" s="21">
        <v>13965262.380000001</v>
      </c>
      <c r="L12" s="21">
        <v>13210098.189999999</v>
      </c>
      <c r="M12" s="25">
        <f t="shared" si="4"/>
        <v>5.7165675768531238E-2</v>
      </c>
      <c r="N12" s="10"/>
      <c r="R12" s="2"/>
    </row>
    <row r="13" spans="1:18" ht="15.75" x14ac:dyDescent="0.25">
      <c r="A13" s="19"/>
      <c r="B13" s="20">
        <f>DATE(2018,11,1)</f>
        <v>43405</v>
      </c>
      <c r="C13" s="21">
        <v>252868</v>
      </c>
      <c r="D13" s="22">
        <v>271175</v>
      </c>
      <c r="E13" s="23">
        <f t="shared" si="0"/>
        <v>-6.750991057435235E-2</v>
      </c>
      <c r="F13" s="21">
        <f>+C13-117772</f>
        <v>135096</v>
      </c>
      <c r="G13" s="21">
        <f>+D13-126340</f>
        <v>144835</v>
      </c>
      <c r="H13" s="23">
        <f t="shared" si="1"/>
        <v>-6.7242034038733731E-2</v>
      </c>
      <c r="I13" s="24">
        <f t="shared" si="2"/>
        <v>54.1405038992676</v>
      </c>
      <c r="J13" s="24">
        <f t="shared" si="3"/>
        <v>101.33831453188843</v>
      </c>
      <c r="K13" s="21">
        <v>13690400.939999999</v>
      </c>
      <c r="L13" s="21">
        <v>14153820.17</v>
      </c>
      <c r="M13" s="25">
        <f t="shared" si="4"/>
        <v>-3.2741636140202597E-2</v>
      </c>
      <c r="N13" s="10"/>
      <c r="R13" s="2"/>
    </row>
    <row r="14" spans="1:18" ht="15.75" x14ac:dyDescent="0.25">
      <c r="A14" s="19"/>
      <c r="B14" s="20">
        <f>DATE(2018,12,1)</f>
        <v>43435</v>
      </c>
      <c r="C14" s="21">
        <v>287683</v>
      </c>
      <c r="D14" s="22">
        <v>285888</v>
      </c>
      <c r="E14" s="23">
        <f t="shared" si="0"/>
        <v>6.2786825610029106E-3</v>
      </c>
      <c r="F14" s="21">
        <f>+C14-136878</f>
        <v>150805</v>
      </c>
      <c r="G14" s="21">
        <f>+D14-135160</f>
        <v>150728</v>
      </c>
      <c r="H14" s="23">
        <f t="shared" si="1"/>
        <v>5.1085398864179183E-4</v>
      </c>
      <c r="I14" s="24">
        <f t="shared" si="2"/>
        <v>53.191660577788745</v>
      </c>
      <c r="J14" s="24">
        <f t="shared" si="3"/>
        <v>101.47101548357151</v>
      </c>
      <c r="K14" s="21">
        <v>15302336.49</v>
      </c>
      <c r="L14" s="21">
        <v>14422386.16</v>
      </c>
      <c r="M14" s="25">
        <f t="shared" si="4"/>
        <v>6.1012811627559421E-2</v>
      </c>
      <c r="N14" s="10"/>
      <c r="R14" s="2"/>
    </row>
    <row r="15" spans="1:18" ht="15.75" x14ac:dyDescent="0.25">
      <c r="A15" s="19"/>
      <c r="B15" s="20">
        <f>DATE(2019,1,1)</f>
        <v>43466</v>
      </c>
      <c r="C15" s="21">
        <v>239286</v>
      </c>
      <c r="D15" s="22">
        <v>251374</v>
      </c>
      <c r="E15" s="23">
        <f t="shared" si="0"/>
        <v>-4.8087709946136037E-2</v>
      </c>
      <c r="F15" s="21">
        <f>+C15-112115</f>
        <v>127171</v>
      </c>
      <c r="G15" s="21">
        <f>+D15-118404</f>
        <v>132970</v>
      </c>
      <c r="H15" s="23">
        <f t="shared" si="1"/>
        <v>-4.3611340903963298E-2</v>
      </c>
      <c r="I15" s="24">
        <f t="shared" si="2"/>
        <v>52.187992862098078</v>
      </c>
      <c r="J15" s="24">
        <f t="shared" si="3"/>
        <v>98.197356787317872</v>
      </c>
      <c r="K15" s="21">
        <v>12487856.060000001</v>
      </c>
      <c r="L15" s="21">
        <v>12588832.869999999</v>
      </c>
      <c r="M15" s="25">
        <f t="shared" si="4"/>
        <v>-8.0211415182604353E-3</v>
      </c>
      <c r="N15" s="10"/>
      <c r="R15" s="2"/>
    </row>
    <row r="16" spans="1:18" ht="15.75" x14ac:dyDescent="0.25">
      <c r="A16" s="19"/>
      <c r="B16" s="20">
        <f>DATE(2019,2,1)</f>
        <v>43497</v>
      </c>
      <c r="C16" s="21">
        <v>236408</v>
      </c>
      <c r="D16" s="22">
        <v>260428</v>
      </c>
      <c r="E16" s="23">
        <f t="shared" si="0"/>
        <v>-9.2232786029152011E-2</v>
      </c>
      <c r="F16" s="21">
        <f>+C16-111522</f>
        <v>124886</v>
      </c>
      <c r="G16" s="21">
        <f>+D16-124324</f>
        <v>136104</v>
      </c>
      <c r="H16" s="23">
        <f t="shared" si="1"/>
        <v>-8.2422265326515018E-2</v>
      </c>
      <c r="I16" s="24">
        <f t="shared" si="2"/>
        <v>52.854409580048049</v>
      </c>
      <c r="J16" s="24">
        <f t="shared" si="3"/>
        <v>100.05289031596816</v>
      </c>
      <c r="K16" s="21">
        <v>12495205.26</v>
      </c>
      <c r="L16" s="21">
        <v>13796430.74</v>
      </c>
      <c r="M16" s="25">
        <f t="shared" si="4"/>
        <v>-9.4316095555595877E-2</v>
      </c>
      <c r="N16" s="10"/>
      <c r="R16" s="2"/>
    </row>
    <row r="17" spans="1:18" ht="15.75" x14ac:dyDescent="0.25">
      <c r="A17" s="19"/>
      <c r="B17" s="20">
        <f>DATE(2019,3,1)</f>
        <v>43525</v>
      </c>
      <c r="C17" s="21">
        <v>291988</v>
      </c>
      <c r="D17" s="22">
        <v>299040</v>
      </c>
      <c r="E17" s="23">
        <f t="shared" si="0"/>
        <v>-2.3582129481005885E-2</v>
      </c>
      <c r="F17" s="21">
        <f>+C17-138132</f>
        <v>153856</v>
      </c>
      <c r="G17" s="21">
        <f>+D17-144322</f>
        <v>154718</v>
      </c>
      <c r="H17" s="23">
        <f t="shared" si="1"/>
        <v>-5.5714267247508366E-3</v>
      </c>
      <c r="I17" s="24">
        <f t="shared" si="2"/>
        <v>52.962648225269533</v>
      </c>
      <c r="J17" s="24">
        <f t="shared" si="3"/>
        <v>100.5125424422837</v>
      </c>
      <c r="K17" s="21">
        <v>15464457.73</v>
      </c>
      <c r="L17" s="21">
        <v>15461490.289999999</v>
      </c>
      <c r="M17" s="25">
        <f t="shared" si="4"/>
        <v>1.9192457805445746E-4</v>
      </c>
      <c r="N17" s="10"/>
      <c r="R17" s="2"/>
    </row>
    <row r="18" spans="1:18" ht="15.75" x14ac:dyDescent="0.25">
      <c r="A18" s="19"/>
      <c r="B18" s="20">
        <f>DATE(2019,4,1)</f>
        <v>43556</v>
      </c>
      <c r="C18" s="21">
        <v>246519</v>
      </c>
      <c r="D18" s="22">
        <v>263459</v>
      </c>
      <c r="E18" s="23">
        <f t="shared" si="0"/>
        <v>-6.4298429736695278E-2</v>
      </c>
      <c r="F18" s="21">
        <f>+C18-115901</f>
        <v>130618</v>
      </c>
      <c r="G18" s="21">
        <f>+D18-124825</f>
        <v>138634</v>
      </c>
      <c r="H18" s="23">
        <f t="shared" si="1"/>
        <v>-5.7821313674856094E-2</v>
      </c>
      <c r="I18" s="24">
        <f t="shared" si="2"/>
        <v>53.694003991578739</v>
      </c>
      <c r="J18" s="24">
        <f t="shared" si="3"/>
        <v>101.33819358740756</v>
      </c>
      <c r="K18" s="21">
        <v>13236592.17</v>
      </c>
      <c r="L18" s="21">
        <v>13808458.529999999</v>
      </c>
      <c r="M18" s="25">
        <f t="shared" si="4"/>
        <v>-4.1414207006348555E-2</v>
      </c>
      <c r="N18" s="10"/>
      <c r="R18" s="2"/>
    </row>
    <row r="19" spans="1:18" ht="15.75" x14ac:dyDescent="0.25">
      <c r="A19" s="19"/>
      <c r="B19" s="20">
        <f>DATE(2019,5,1)</f>
        <v>43586</v>
      </c>
      <c r="C19" s="21">
        <v>264599</v>
      </c>
      <c r="D19" s="22">
        <v>269584</v>
      </c>
      <c r="E19" s="23">
        <f t="shared" si="0"/>
        <v>-1.8491453498723959E-2</v>
      </c>
      <c r="F19" s="21">
        <f>+C19-120419</f>
        <v>144180</v>
      </c>
      <c r="G19" s="21">
        <f>+D19-126735</f>
        <v>142849</v>
      </c>
      <c r="H19" s="23">
        <f t="shared" si="1"/>
        <v>9.3175310992726582E-3</v>
      </c>
      <c r="I19" s="24">
        <f t="shared" si="2"/>
        <v>54.799217003843552</v>
      </c>
      <c r="J19" s="24">
        <f t="shared" si="3"/>
        <v>100.56747135525038</v>
      </c>
      <c r="K19" s="21">
        <v>14499818.02</v>
      </c>
      <c r="L19" s="21">
        <v>13587634.17</v>
      </c>
      <c r="M19" s="25">
        <f t="shared" si="4"/>
        <v>6.7133383088426174E-2</v>
      </c>
      <c r="N19" s="10"/>
      <c r="R19" s="2"/>
    </row>
    <row r="20" spans="1:18" ht="15.75" x14ac:dyDescent="0.25">
      <c r="A20" s="19"/>
      <c r="B20" s="20">
        <f>DATE(2019,6,1)</f>
        <v>43617</v>
      </c>
      <c r="C20" s="21">
        <v>255622</v>
      </c>
      <c r="D20" s="22">
        <v>266265</v>
      </c>
      <c r="E20" s="23">
        <f t="shared" si="0"/>
        <v>-3.9971457007116969E-2</v>
      </c>
      <c r="F20" s="21">
        <f>+C20-115289</f>
        <v>140333</v>
      </c>
      <c r="G20" s="21">
        <f>+D20-126110</f>
        <v>140155</v>
      </c>
      <c r="H20" s="23">
        <f t="shared" si="1"/>
        <v>1.270022475116835E-3</v>
      </c>
      <c r="I20" s="24">
        <f t="shared" si="2"/>
        <v>52.033656414549611</v>
      </c>
      <c r="J20" s="24">
        <f t="shared" si="3"/>
        <v>94.781322425944012</v>
      </c>
      <c r="K20" s="21">
        <v>13300947.32</v>
      </c>
      <c r="L20" s="21">
        <v>13870999.16</v>
      </c>
      <c r="M20" s="25">
        <f t="shared" si="4"/>
        <v>-4.1096667473231957E-2</v>
      </c>
      <c r="N20" s="10"/>
      <c r="R20" s="2"/>
    </row>
    <row r="21" spans="1:18" ht="15.75" customHeight="1" thickBot="1" x14ac:dyDescent="0.3">
      <c r="A21" s="19"/>
      <c r="B21" s="20"/>
      <c r="C21" s="21"/>
      <c r="D21" s="21"/>
      <c r="E21" s="23"/>
      <c r="F21" s="21"/>
      <c r="G21" s="21"/>
      <c r="H21" s="23"/>
      <c r="I21" s="24"/>
      <c r="J21" s="24"/>
      <c r="K21" s="21"/>
      <c r="L21" s="21"/>
      <c r="M21" s="25"/>
      <c r="N21" s="10"/>
      <c r="R21" s="2"/>
    </row>
    <row r="22" spans="1:18" ht="17.25" thickTop="1" thickBot="1" x14ac:dyDescent="0.3">
      <c r="A22" s="26" t="s">
        <v>14</v>
      </c>
      <c r="B22" s="27"/>
      <c r="C22" s="28">
        <f>SUM(C9:C21)</f>
        <v>3130652</v>
      </c>
      <c r="D22" s="28">
        <f>SUM(D9:D21)</f>
        <v>3279256</v>
      </c>
      <c r="E22" s="279">
        <f>(+C22-D22)/D22</f>
        <v>-4.5316376641530882E-2</v>
      </c>
      <c r="F22" s="28">
        <f>SUM(F9:F21)</f>
        <v>1674012</v>
      </c>
      <c r="G22" s="28">
        <f>SUM(G9:G21)</f>
        <v>1729769</v>
      </c>
      <c r="H22" s="30">
        <f>(+F22-G22)/G22</f>
        <v>-3.2233783817376772E-2</v>
      </c>
      <c r="I22" s="31">
        <f>K22/C22</f>
        <v>52.80431379789259</v>
      </c>
      <c r="J22" s="31">
        <f>K22/F22</f>
        <v>98.751938815253425</v>
      </c>
      <c r="K22" s="28">
        <f>SUM(K9:K21)</f>
        <v>165311930.60000002</v>
      </c>
      <c r="L22" s="28">
        <f>SUM(L9:L21)</f>
        <v>165621031.53999999</v>
      </c>
      <c r="M22" s="32">
        <f>(+K22-L22)/L22</f>
        <v>-1.8663145442691874E-3</v>
      </c>
      <c r="N22" s="10"/>
      <c r="R22" s="2"/>
    </row>
    <row r="23" spans="1:18" ht="15.75" customHeight="1" thickTop="1" x14ac:dyDescent="0.25">
      <c r="A23" s="15"/>
      <c r="B23" s="16"/>
      <c r="C23" s="16"/>
      <c r="D23" s="16"/>
      <c r="E23" s="17"/>
      <c r="F23" s="16"/>
      <c r="G23" s="16"/>
      <c r="H23" s="17"/>
      <c r="I23" s="16"/>
      <c r="J23" s="16"/>
      <c r="K23" s="195"/>
      <c r="L23" s="195"/>
      <c r="M23" s="18"/>
      <c r="N23" s="10"/>
      <c r="R23" s="2"/>
    </row>
    <row r="24" spans="1:18" ht="15.75" x14ac:dyDescent="0.25">
      <c r="A24" s="19" t="s">
        <v>15</v>
      </c>
      <c r="B24" s="20">
        <f>DATE(2018,7,1)</f>
        <v>43282</v>
      </c>
      <c r="C24" s="21">
        <v>142478</v>
      </c>
      <c r="D24" s="21">
        <v>154485</v>
      </c>
      <c r="E24" s="23">
        <f t="shared" ref="E24:E35" si="5">(+C24-D24)/D24</f>
        <v>-7.7722756254652553E-2</v>
      </c>
      <c r="F24" s="21">
        <f>+C24-67444</f>
        <v>75034</v>
      </c>
      <c r="G24" s="21">
        <f>+D24-74453</f>
        <v>80032</v>
      </c>
      <c r="H24" s="23">
        <f t="shared" ref="H24:H35" si="6">(+F24-G24)/G24</f>
        <v>-6.2450019992003197E-2</v>
      </c>
      <c r="I24" s="24">
        <f t="shared" ref="I24:I35" si="7">K24/C24</f>
        <v>51.761326380213085</v>
      </c>
      <c r="J24" s="24">
        <f t="shared" ref="J24:J35" si="8">K24/F24</f>
        <v>98.28678012634272</v>
      </c>
      <c r="K24" s="21">
        <v>7374850.2599999998</v>
      </c>
      <c r="L24" s="21">
        <v>7453089.46</v>
      </c>
      <c r="M24" s="25">
        <f t="shared" ref="M24:M35" si="9">(+K24-L24)/L24</f>
        <v>-1.0497552782628237E-2</v>
      </c>
      <c r="N24" s="10"/>
      <c r="R24" s="2"/>
    </row>
    <row r="25" spans="1:18" ht="15.75" x14ac:dyDescent="0.25">
      <c r="A25" s="19"/>
      <c r="B25" s="20">
        <f>DATE(2018,8,1)</f>
        <v>43313</v>
      </c>
      <c r="C25" s="21">
        <v>137794</v>
      </c>
      <c r="D25" s="21">
        <v>146885</v>
      </c>
      <c r="E25" s="23">
        <f t="shared" si="5"/>
        <v>-6.1891956292337541E-2</v>
      </c>
      <c r="F25" s="21">
        <f>+C25-65911</f>
        <v>71883</v>
      </c>
      <c r="G25" s="21">
        <f>+D25-69501</f>
        <v>77384</v>
      </c>
      <c r="H25" s="23">
        <f t="shared" si="6"/>
        <v>-7.1087046417864161E-2</v>
      </c>
      <c r="I25" s="24">
        <f t="shared" si="7"/>
        <v>51.516040321058973</v>
      </c>
      <c r="J25" s="24">
        <f t="shared" si="8"/>
        <v>98.75215642085054</v>
      </c>
      <c r="K25" s="21">
        <v>7098601.2599999998</v>
      </c>
      <c r="L25" s="21">
        <v>6887015.3099999996</v>
      </c>
      <c r="M25" s="25">
        <f t="shared" si="9"/>
        <v>3.0722445134218845E-2</v>
      </c>
      <c r="N25" s="10"/>
      <c r="R25" s="2"/>
    </row>
    <row r="26" spans="1:18" ht="15.75" x14ac:dyDescent="0.25">
      <c r="A26" s="19"/>
      <c r="B26" s="20">
        <f>DATE(2018,9,1)</f>
        <v>43344</v>
      </c>
      <c r="C26" s="21">
        <v>137262</v>
      </c>
      <c r="D26" s="21">
        <v>147791</v>
      </c>
      <c r="E26" s="23">
        <f t="shared" si="5"/>
        <v>-7.1242497851695979E-2</v>
      </c>
      <c r="F26" s="21">
        <f>+C26-65092</f>
        <v>72170</v>
      </c>
      <c r="G26" s="21">
        <f>+D26-70004</f>
        <v>77787</v>
      </c>
      <c r="H26" s="23">
        <f t="shared" si="6"/>
        <v>-7.2210009384601537E-2</v>
      </c>
      <c r="I26" s="24">
        <f t="shared" si="7"/>
        <v>47.463808045926768</v>
      </c>
      <c r="J26" s="24">
        <f t="shared" si="8"/>
        <v>90.272650963004011</v>
      </c>
      <c r="K26" s="21">
        <v>6514977.2199999997</v>
      </c>
      <c r="L26" s="21">
        <v>6683115.0899999999</v>
      </c>
      <c r="M26" s="25">
        <f t="shared" si="9"/>
        <v>-2.5158607585792768E-2</v>
      </c>
      <c r="N26" s="10"/>
      <c r="R26" s="2"/>
    </row>
    <row r="27" spans="1:18" ht="15.75" x14ac:dyDescent="0.25">
      <c r="A27" s="19"/>
      <c r="B27" s="20">
        <f>DATE(2018,10,1)</f>
        <v>43374</v>
      </c>
      <c r="C27" s="21">
        <v>119937</v>
      </c>
      <c r="D27" s="21">
        <v>137700</v>
      </c>
      <c r="E27" s="23">
        <f t="shared" si="5"/>
        <v>-0.12899782135076251</v>
      </c>
      <c r="F27" s="21">
        <f>+C27-56627</f>
        <v>63310</v>
      </c>
      <c r="G27" s="21">
        <f>+D27-65646</f>
        <v>72054</v>
      </c>
      <c r="H27" s="23">
        <f t="shared" si="6"/>
        <v>-0.12135342937241514</v>
      </c>
      <c r="I27" s="24">
        <f t="shared" si="7"/>
        <v>52.920465494384551</v>
      </c>
      <c r="J27" s="24">
        <f t="shared" si="8"/>
        <v>100.2546496604012</v>
      </c>
      <c r="K27" s="21">
        <v>6347121.8700000001</v>
      </c>
      <c r="L27" s="21">
        <v>6249987.8600000003</v>
      </c>
      <c r="M27" s="25">
        <f t="shared" si="9"/>
        <v>1.5541471787754764E-2</v>
      </c>
      <c r="N27" s="10"/>
      <c r="R27" s="2"/>
    </row>
    <row r="28" spans="1:18" ht="15.75" x14ac:dyDescent="0.25">
      <c r="A28" s="19"/>
      <c r="B28" s="20">
        <f>DATE(2018,11,1)</f>
        <v>43405</v>
      </c>
      <c r="C28" s="21">
        <v>113387</v>
      </c>
      <c r="D28" s="21">
        <v>128271</v>
      </c>
      <c r="E28" s="23">
        <f t="shared" si="5"/>
        <v>-0.11603558091852406</v>
      </c>
      <c r="F28" s="21">
        <f>+C28-54700</f>
        <v>58687</v>
      </c>
      <c r="G28" s="21">
        <f>+D28-61249</f>
        <v>67022</v>
      </c>
      <c r="H28" s="23">
        <f t="shared" si="6"/>
        <v>-0.1243621497418758</v>
      </c>
      <c r="I28" s="24">
        <f t="shared" si="7"/>
        <v>50.957192535299463</v>
      </c>
      <c r="J28" s="24">
        <f t="shared" si="8"/>
        <v>98.452522534803279</v>
      </c>
      <c r="K28" s="21">
        <v>5777883.1900000004</v>
      </c>
      <c r="L28" s="21">
        <v>6197481.3499999996</v>
      </c>
      <c r="M28" s="25">
        <f t="shared" si="9"/>
        <v>-6.7704626493147776E-2</v>
      </c>
      <c r="N28" s="10"/>
      <c r="R28" s="2"/>
    </row>
    <row r="29" spans="1:18" ht="15.75" x14ac:dyDescent="0.25">
      <c r="A29" s="19"/>
      <c r="B29" s="20">
        <f>DATE(2018,12,1)</f>
        <v>43435</v>
      </c>
      <c r="C29" s="21">
        <v>130957</v>
      </c>
      <c r="D29" s="21">
        <v>135202</v>
      </c>
      <c r="E29" s="23">
        <f t="shared" si="5"/>
        <v>-3.1397464534548308E-2</v>
      </c>
      <c r="F29" s="21">
        <f>+C29-63848</f>
        <v>67109</v>
      </c>
      <c r="G29" s="21">
        <f>+D29-65090</f>
        <v>70112</v>
      </c>
      <c r="H29" s="23">
        <f t="shared" si="6"/>
        <v>-4.2831469648562298E-2</v>
      </c>
      <c r="I29" s="24">
        <f t="shared" si="7"/>
        <v>51.437310873034662</v>
      </c>
      <c r="J29" s="24">
        <f t="shared" si="8"/>
        <v>100.37514968186085</v>
      </c>
      <c r="K29" s="21">
        <v>6736075.9199999999</v>
      </c>
      <c r="L29" s="21">
        <v>6560683.46</v>
      </c>
      <c r="M29" s="25">
        <f t="shared" si="9"/>
        <v>2.6733870193456941E-2</v>
      </c>
      <c r="N29" s="10"/>
      <c r="R29" s="2"/>
    </row>
    <row r="30" spans="1:18" ht="15.75" x14ac:dyDescent="0.25">
      <c r="A30" s="19"/>
      <c r="B30" s="20">
        <f>DATE(2019,1,1)</f>
        <v>43466</v>
      </c>
      <c r="C30" s="21">
        <v>105704</v>
      </c>
      <c r="D30" s="21">
        <v>122998</v>
      </c>
      <c r="E30" s="23">
        <f t="shared" si="5"/>
        <v>-0.14060391225873592</v>
      </c>
      <c r="F30" s="21">
        <f>+C30-51270</f>
        <v>54434</v>
      </c>
      <c r="G30" s="21">
        <f>+D30-59574</f>
        <v>63424</v>
      </c>
      <c r="H30" s="23">
        <f t="shared" si="6"/>
        <v>-0.14174445005045408</v>
      </c>
      <c r="I30" s="24">
        <f t="shared" si="7"/>
        <v>49.217433304321503</v>
      </c>
      <c r="J30" s="24">
        <f t="shared" si="8"/>
        <v>95.574081823860098</v>
      </c>
      <c r="K30" s="21">
        <v>5202479.57</v>
      </c>
      <c r="L30" s="21">
        <v>6036441.3099999996</v>
      </c>
      <c r="M30" s="25">
        <f t="shared" si="9"/>
        <v>-0.13815453462927801</v>
      </c>
      <c r="N30" s="10"/>
      <c r="R30" s="2"/>
    </row>
    <row r="31" spans="1:18" ht="15.75" x14ac:dyDescent="0.25">
      <c r="A31" s="19"/>
      <c r="B31" s="20">
        <f>DATE(2019,2,1)</f>
        <v>43497</v>
      </c>
      <c r="C31" s="21">
        <v>119333</v>
      </c>
      <c r="D31" s="21">
        <v>129346</v>
      </c>
      <c r="E31" s="23">
        <f t="shared" si="5"/>
        <v>-7.7412521454084393E-2</v>
      </c>
      <c r="F31" s="21">
        <f>+C31-58302</f>
        <v>61031</v>
      </c>
      <c r="G31" s="21">
        <f>+D31-62566</f>
        <v>66780</v>
      </c>
      <c r="H31" s="23">
        <f t="shared" si="6"/>
        <v>-8.6088649296196459E-2</v>
      </c>
      <c r="I31" s="24">
        <f t="shared" si="7"/>
        <v>52.27453822496711</v>
      </c>
      <c r="J31" s="24">
        <f t="shared" si="8"/>
        <v>102.21162147105569</v>
      </c>
      <c r="K31" s="21">
        <v>6238077.4699999997</v>
      </c>
      <c r="L31" s="21">
        <v>6427758.5</v>
      </c>
      <c r="M31" s="25">
        <f t="shared" si="9"/>
        <v>-2.9509669661671369E-2</v>
      </c>
      <c r="N31" s="10"/>
      <c r="R31" s="2"/>
    </row>
    <row r="32" spans="1:18" ht="15.75" x14ac:dyDescent="0.25">
      <c r="A32" s="19"/>
      <c r="B32" s="20">
        <f>DATE(2019,3,1)</f>
        <v>43525</v>
      </c>
      <c r="C32" s="21">
        <v>147225</v>
      </c>
      <c r="D32" s="21">
        <v>155835</v>
      </c>
      <c r="E32" s="23">
        <f t="shared" si="5"/>
        <v>-5.5250745981326406E-2</v>
      </c>
      <c r="F32" s="21">
        <f>+C32-71732</f>
        <v>75493</v>
      </c>
      <c r="G32" s="21">
        <f>+D32-75203</f>
        <v>80632</v>
      </c>
      <c r="H32" s="23">
        <f t="shared" si="6"/>
        <v>-6.3734001389026684E-2</v>
      </c>
      <c r="I32" s="24">
        <f t="shared" si="7"/>
        <v>53.346917167600608</v>
      </c>
      <c r="J32" s="24">
        <f t="shared" si="8"/>
        <v>104.03613421111891</v>
      </c>
      <c r="K32" s="21">
        <v>7853999.8799999999</v>
      </c>
      <c r="L32" s="21">
        <v>7610529.2599999998</v>
      </c>
      <c r="M32" s="25">
        <f t="shared" si="9"/>
        <v>3.1991286240715421E-2</v>
      </c>
      <c r="N32" s="10"/>
      <c r="R32" s="2"/>
    </row>
    <row r="33" spans="1:18" ht="15.75" x14ac:dyDescent="0.25">
      <c r="A33" s="19"/>
      <c r="B33" s="20">
        <f>DATE(2019,4,1)</f>
        <v>43556</v>
      </c>
      <c r="C33" s="21">
        <v>120109</v>
      </c>
      <c r="D33" s="21">
        <v>134366</v>
      </c>
      <c r="E33" s="23">
        <f t="shared" si="5"/>
        <v>-0.10610571126624295</v>
      </c>
      <c r="F33" s="21">
        <f>+C33-57579</f>
        <v>62530</v>
      </c>
      <c r="G33" s="21">
        <f>+D33-65307</f>
        <v>69059</v>
      </c>
      <c r="H33" s="23">
        <f t="shared" si="6"/>
        <v>-9.4542347847492728E-2</v>
      </c>
      <c r="I33" s="24">
        <f t="shared" si="7"/>
        <v>51.594920946806653</v>
      </c>
      <c r="J33" s="24">
        <f t="shared" si="8"/>
        <v>99.104659523428765</v>
      </c>
      <c r="K33" s="21">
        <v>6197014.3600000003</v>
      </c>
      <c r="L33" s="21">
        <v>6867961.0499999998</v>
      </c>
      <c r="M33" s="25">
        <f t="shared" si="9"/>
        <v>-9.7692267780114958E-2</v>
      </c>
      <c r="N33" s="10"/>
      <c r="R33" s="2"/>
    </row>
    <row r="34" spans="1:18" ht="15.75" x14ac:dyDescent="0.25">
      <c r="A34" s="19"/>
      <c r="B34" s="20">
        <f>DATE(2019,5,1)</f>
        <v>43586</v>
      </c>
      <c r="C34" s="21">
        <v>130620</v>
      </c>
      <c r="D34" s="21">
        <v>132093</v>
      </c>
      <c r="E34" s="23">
        <f t="shared" si="5"/>
        <v>-1.1151234357611683E-2</v>
      </c>
      <c r="F34" s="21">
        <f>+C34-62633</f>
        <v>67987</v>
      </c>
      <c r="G34" s="21">
        <f>+D34-61960</f>
        <v>70133</v>
      </c>
      <c r="H34" s="23">
        <f t="shared" si="6"/>
        <v>-3.0599004748121425E-2</v>
      </c>
      <c r="I34" s="24">
        <f t="shared" si="7"/>
        <v>52.5817328892972</v>
      </c>
      <c r="J34" s="24">
        <f t="shared" si="8"/>
        <v>101.02263594510715</v>
      </c>
      <c r="K34" s="21">
        <v>6868225.9500000002</v>
      </c>
      <c r="L34" s="21">
        <v>6653301.7400000002</v>
      </c>
      <c r="M34" s="25">
        <f t="shared" si="9"/>
        <v>3.2303391368508703E-2</v>
      </c>
      <c r="N34" s="10"/>
      <c r="R34" s="2"/>
    </row>
    <row r="35" spans="1:18" ht="15.75" x14ac:dyDescent="0.25">
      <c r="A35" s="19"/>
      <c r="B35" s="20">
        <f>DATE(2019,6,1)</f>
        <v>43617</v>
      </c>
      <c r="C35" s="21">
        <v>118693</v>
      </c>
      <c r="D35" s="21">
        <v>124157</v>
      </c>
      <c r="E35" s="23">
        <f t="shared" si="5"/>
        <v>-4.4008795315608466E-2</v>
      </c>
      <c r="F35" s="21">
        <f>+C35-56710</f>
        <v>61983</v>
      </c>
      <c r="G35" s="21">
        <f>+D35-57854</f>
        <v>66303</v>
      </c>
      <c r="H35" s="23">
        <f t="shared" si="6"/>
        <v>-6.5155422831546086E-2</v>
      </c>
      <c r="I35" s="24">
        <f t="shared" si="7"/>
        <v>54.201931453413422</v>
      </c>
      <c r="J35" s="24">
        <f t="shared" si="8"/>
        <v>103.79281173870254</v>
      </c>
      <c r="K35" s="21">
        <v>6433389.8499999996</v>
      </c>
      <c r="L35" s="21">
        <v>6562657.54</v>
      </c>
      <c r="M35" s="25">
        <f t="shared" si="9"/>
        <v>-1.969746085516454E-2</v>
      </c>
      <c r="N35" s="10"/>
      <c r="R35" s="2"/>
    </row>
    <row r="36" spans="1:18" ht="15.75" customHeight="1" thickBot="1" x14ac:dyDescent="0.3">
      <c r="A36" s="19"/>
      <c r="B36" s="20"/>
      <c r="C36" s="21"/>
      <c r="D36" s="21"/>
      <c r="E36" s="23"/>
      <c r="F36" s="21"/>
      <c r="G36" s="21"/>
      <c r="H36" s="23"/>
      <c r="I36" s="24"/>
      <c r="J36" s="24"/>
      <c r="K36" s="21"/>
      <c r="L36" s="21"/>
      <c r="M36" s="25"/>
      <c r="N36" s="10"/>
      <c r="R36" s="2"/>
    </row>
    <row r="37" spans="1:18" ht="17.25" customHeight="1" thickTop="1" thickBot="1" x14ac:dyDescent="0.3">
      <c r="A37" s="26" t="s">
        <v>14</v>
      </c>
      <c r="B37" s="27"/>
      <c r="C37" s="28">
        <f>SUM(C24:C36)</f>
        <v>1523499</v>
      </c>
      <c r="D37" s="28">
        <f>SUM(D24:D36)</f>
        <v>1649129</v>
      </c>
      <c r="E37" s="279">
        <f>(+C37-D37)/D37</f>
        <v>-7.6179607538282332E-2</v>
      </c>
      <c r="F37" s="28">
        <f>SUM(F24:F36)</f>
        <v>791651</v>
      </c>
      <c r="G37" s="28">
        <f>SUM(G24:G36)</f>
        <v>860722</v>
      </c>
      <c r="H37" s="30">
        <f>(+F37-G37)/G37</f>
        <v>-8.0247745497384754E-2</v>
      </c>
      <c r="I37" s="31">
        <f>K37/C37</f>
        <v>51.619788920110878</v>
      </c>
      <c r="J37" s="31">
        <f>K37/F37</f>
        <v>99.340109214792875</v>
      </c>
      <c r="K37" s="28">
        <f>SUM(K24:K36)</f>
        <v>78642696.799999997</v>
      </c>
      <c r="L37" s="28">
        <f>SUM(L24:L36)</f>
        <v>80190021.930000007</v>
      </c>
      <c r="M37" s="32">
        <f>(+K37-L37)/L37</f>
        <v>-1.9295731473308628E-2</v>
      </c>
      <c r="N37" s="10"/>
      <c r="R37" s="2"/>
    </row>
    <row r="38" spans="1:18" ht="15.75" customHeight="1" thickTop="1" x14ac:dyDescent="0.25">
      <c r="A38" s="33"/>
      <c r="B38" s="34"/>
      <c r="C38" s="35"/>
      <c r="D38" s="35"/>
      <c r="E38" s="29"/>
      <c r="F38" s="35"/>
      <c r="G38" s="35"/>
      <c r="H38" s="29"/>
      <c r="I38" s="36"/>
      <c r="J38" s="36"/>
      <c r="K38" s="35"/>
      <c r="L38" s="35"/>
      <c r="M38" s="37"/>
      <c r="N38" s="10"/>
      <c r="R38" s="2"/>
    </row>
    <row r="39" spans="1:18" ht="15.75" customHeight="1" x14ac:dyDescent="0.25">
      <c r="A39" s="19" t="s">
        <v>56</v>
      </c>
      <c r="B39" s="20">
        <f>DATE(2018,7,1)</f>
        <v>43282</v>
      </c>
      <c r="C39" s="21">
        <v>72910</v>
      </c>
      <c r="D39" s="21">
        <v>74865</v>
      </c>
      <c r="E39" s="23">
        <f t="shared" ref="E39:E50" si="10">(+C39-D39)/D39</f>
        <v>-2.6113671274961597E-2</v>
      </c>
      <c r="F39" s="21">
        <f>+C39-39365</f>
        <v>33545</v>
      </c>
      <c r="G39" s="21">
        <f>+D39-41129</f>
        <v>33736</v>
      </c>
      <c r="H39" s="23">
        <f t="shared" ref="H39:H50" si="11">(+F39-G39)/G39</f>
        <v>-5.6616077780412616E-3</v>
      </c>
      <c r="I39" s="24">
        <f t="shared" ref="I39:I50" si="12">K39/C39</f>
        <v>44.780741324921138</v>
      </c>
      <c r="J39" s="24">
        <f t="shared" ref="J39:J50" si="13">K39/F39</f>
        <v>97.33086451035922</v>
      </c>
      <c r="K39" s="21">
        <v>3264963.85</v>
      </c>
      <c r="L39" s="21">
        <v>3281831.24</v>
      </c>
      <c r="M39" s="25">
        <f t="shared" ref="M39:M50" si="14">(+K39-L39)/L39</f>
        <v>-5.1396274721305073E-3</v>
      </c>
      <c r="N39" s="10"/>
      <c r="R39" s="2"/>
    </row>
    <row r="40" spans="1:18" ht="15.75" customHeight="1" x14ac:dyDescent="0.25">
      <c r="A40" s="19"/>
      <c r="B40" s="20">
        <f>DATE(2018,8,1)</f>
        <v>43313</v>
      </c>
      <c r="C40" s="21">
        <v>70574</v>
      </c>
      <c r="D40" s="21">
        <v>67175</v>
      </c>
      <c r="E40" s="23">
        <f t="shared" si="10"/>
        <v>5.0599181243021957E-2</v>
      </c>
      <c r="F40" s="21">
        <f>+C40-38367</f>
        <v>32207</v>
      </c>
      <c r="G40" s="21">
        <f>+D40-36831</f>
        <v>30344</v>
      </c>
      <c r="H40" s="23">
        <f t="shared" si="11"/>
        <v>6.139599261798049E-2</v>
      </c>
      <c r="I40" s="24">
        <f t="shared" si="12"/>
        <v>44.274835775214662</v>
      </c>
      <c r="J40" s="24">
        <f t="shared" si="13"/>
        <v>97.017799236190882</v>
      </c>
      <c r="K40" s="21">
        <v>3124652.26</v>
      </c>
      <c r="L40" s="21">
        <v>2914048.09</v>
      </c>
      <c r="M40" s="25">
        <f t="shared" si="14"/>
        <v>7.2272029663038237E-2</v>
      </c>
      <c r="N40" s="10"/>
      <c r="R40" s="2"/>
    </row>
    <row r="41" spans="1:18" ht="15.75" customHeight="1" x14ac:dyDescent="0.25">
      <c r="A41" s="19"/>
      <c r="B41" s="20">
        <f>DATE(2018,9,1)</f>
        <v>43344</v>
      </c>
      <c r="C41" s="21">
        <v>68201</v>
      </c>
      <c r="D41" s="21">
        <v>69904</v>
      </c>
      <c r="E41" s="23">
        <f t="shared" si="10"/>
        <v>-2.4361982146944381E-2</v>
      </c>
      <c r="F41" s="21">
        <f>+C41-36459</f>
        <v>31742</v>
      </c>
      <c r="G41" s="21">
        <f>+D41-38362</f>
        <v>31542</v>
      </c>
      <c r="H41" s="23">
        <f t="shared" si="11"/>
        <v>6.3407520131887642E-3</v>
      </c>
      <c r="I41" s="24">
        <f t="shared" si="12"/>
        <v>45.847269688127739</v>
      </c>
      <c r="J41" s="24">
        <f t="shared" si="13"/>
        <v>98.507644130804621</v>
      </c>
      <c r="K41" s="21">
        <v>3126829.64</v>
      </c>
      <c r="L41" s="21">
        <v>3243425.56</v>
      </c>
      <c r="M41" s="25">
        <f t="shared" si="14"/>
        <v>-3.5948387852009135E-2</v>
      </c>
      <c r="N41" s="10"/>
      <c r="R41" s="2"/>
    </row>
    <row r="42" spans="1:18" ht="15.75" customHeight="1" x14ac:dyDescent="0.25">
      <c r="A42" s="19"/>
      <c r="B42" s="20">
        <f>DATE(2018,10,1)</f>
        <v>43374</v>
      </c>
      <c r="C42" s="21">
        <v>62804</v>
      </c>
      <c r="D42" s="21">
        <v>63657</v>
      </c>
      <c r="E42" s="23">
        <f t="shared" si="10"/>
        <v>-1.3399940305072498E-2</v>
      </c>
      <c r="F42" s="21">
        <f>+C42-33338</f>
        <v>29466</v>
      </c>
      <c r="G42" s="21">
        <f>+D42-34877</f>
        <v>28780</v>
      </c>
      <c r="H42" s="23">
        <f t="shared" si="11"/>
        <v>2.3835997220291869E-2</v>
      </c>
      <c r="I42" s="24">
        <f t="shared" si="12"/>
        <v>45.330389465639129</v>
      </c>
      <c r="J42" s="24">
        <f t="shared" si="13"/>
        <v>96.617449942306379</v>
      </c>
      <c r="K42" s="21">
        <v>2846929.78</v>
      </c>
      <c r="L42" s="21">
        <v>2893425.26</v>
      </c>
      <c r="M42" s="25">
        <f t="shared" si="14"/>
        <v>-1.6069355805651598E-2</v>
      </c>
      <c r="N42" s="10"/>
      <c r="R42" s="2"/>
    </row>
    <row r="43" spans="1:18" ht="15.75" customHeight="1" x14ac:dyDescent="0.25">
      <c r="A43" s="19"/>
      <c r="B43" s="20">
        <f>DATE(2018,11,1)</f>
        <v>43405</v>
      </c>
      <c r="C43" s="21">
        <v>61960</v>
      </c>
      <c r="D43" s="21">
        <v>63113</v>
      </c>
      <c r="E43" s="23">
        <f t="shared" si="10"/>
        <v>-1.8268819419137102E-2</v>
      </c>
      <c r="F43" s="21">
        <f>+C43-34125</f>
        <v>27835</v>
      </c>
      <c r="G43" s="21">
        <f>+D43-34636</f>
        <v>28477</v>
      </c>
      <c r="H43" s="23">
        <f t="shared" si="11"/>
        <v>-2.2544509604242018E-2</v>
      </c>
      <c r="I43" s="24">
        <f t="shared" si="12"/>
        <v>46.035749031633308</v>
      </c>
      <c r="J43" s="24">
        <f t="shared" si="13"/>
        <v>102.47440308963535</v>
      </c>
      <c r="K43" s="21">
        <v>2852375.01</v>
      </c>
      <c r="L43" s="21">
        <v>2842675.68</v>
      </c>
      <c r="M43" s="25">
        <f t="shared" si="14"/>
        <v>3.4120424177265301E-3</v>
      </c>
      <c r="N43" s="10"/>
      <c r="R43" s="2"/>
    </row>
    <row r="44" spans="1:18" ht="15.75" customHeight="1" x14ac:dyDescent="0.25">
      <c r="A44" s="19"/>
      <c r="B44" s="20">
        <f>DATE(2018,12,1)</f>
        <v>43435</v>
      </c>
      <c r="C44" s="21">
        <v>67802</v>
      </c>
      <c r="D44" s="21">
        <v>67232</v>
      </c>
      <c r="E44" s="23">
        <f t="shared" si="10"/>
        <v>8.4781056639695387E-3</v>
      </c>
      <c r="F44" s="21">
        <f>+C44-38252</f>
        <v>29550</v>
      </c>
      <c r="G44" s="21">
        <f>+D44-38046</f>
        <v>29186</v>
      </c>
      <c r="H44" s="23">
        <f t="shared" si="11"/>
        <v>1.2471733022682108E-2</v>
      </c>
      <c r="I44" s="24">
        <f t="shared" si="12"/>
        <v>47.906145098964636</v>
      </c>
      <c r="J44" s="24">
        <f t="shared" si="13"/>
        <v>109.91987986463621</v>
      </c>
      <c r="K44" s="21">
        <v>3248132.45</v>
      </c>
      <c r="L44" s="21">
        <v>3087701.75</v>
      </c>
      <c r="M44" s="25">
        <f t="shared" si="14"/>
        <v>5.1957965175878848E-2</v>
      </c>
      <c r="N44" s="10"/>
      <c r="R44" s="2"/>
    </row>
    <row r="45" spans="1:18" ht="15.75" customHeight="1" x14ac:dyDescent="0.25">
      <c r="A45" s="19"/>
      <c r="B45" s="20">
        <f>DATE(2019,1,1)</f>
        <v>43466</v>
      </c>
      <c r="C45" s="21">
        <v>58743</v>
      </c>
      <c r="D45" s="21">
        <v>54220</v>
      </c>
      <c r="E45" s="23">
        <f t="shared" si="10"/>
        <v>8.3419402434526002E-2</v>
      </c>
      <c r="F45" s="21">
        <f>+C45-31774</f>
        <v>26969</v>
      </c>
      <c r="G45" s="21">
        <f>+D45-30564</f>
        <v>23656</v>
      </c>
      <c r="H45" s="23">
        <f t="shared" si="11"/>
        <v>0.14004903618532297</v>
      </c>
      <c r="I45" s="24">
        <f t="shared" si="12"/>
        <v>47.158280135505507</v>
      </c>
      <c r="J45" s="24">
        <f t="shared" si="13"/>
        <v>102.71863435796656</v>
      </c>
      <c r="K45" s="21">
        <v>2770218.85</v>
      </c>
      <c r="L45" s="21">
        <v>2486445.4500000002</v>
      </c>
      <c r="M45" s="25">
        <f t="shared" si="14"/>
        <v>0.1141281422441823</v>
      </c>
      <c r="N45" s="10"/>
      <c r="R45" s="2"/>
    </row>
    <row r="46" spans="1:18" ht="15.75" customHeight="1" x14ac:dyDescent="0.25">
      <c r="A46" s="19"/>
      <c r="B46" s="20">
        <f>DATE(2019,2,1)</f>
        <v>43497</v>
      </c>
      <c r="C46" s="21">
        <v>62348</v>
      </c>
      <c r="D46" s="21">
        <v>65508</v>
      </c>
      <c r="E46" s="23">
        <f t="shared" si="10"/>
        <v>-4.8238383098247545E-2</v>
      </c>
      <c r="F46" s="21">
        <f>+C46-34888</f>
        <v>27460</v>
      </c>
      <c r="G46" s="21">
        <f>+D46-36512</f>
        <v>28996</v>
      </c>
      <c r="H46" s="23">
        <f t="shared" si="11"/>
        <v>-5.297282383777073E-2</v>
      </c>
      <c r="I46" s="24">
        <f t="shared" si="12"/>
        <v>46.607038557772505</v>
      </c>
      <c r="J46" s="24">
        <f t="shared" si="13"/>
        <v>105.82139985433358</v>
      </c>
      <c r="K46" s="21">
        <v>2905855.64</v>
      </c>
      <c r="L46" s="21">
        <v>3058842.68</v>
      </c>
      <c r="M46" s="25">
        <f t="shared" si="14"/>
        <v>-5.0014680715779747E-2</v>
      </c>
      <c r="N46" s="10"/>
      <c r="R46" s="2"/>
    </row>
    <row r="47" spans="1:18" ht="15.75" customHeight="1" x14ac:dyDescent="0.25">
      <c r="A47" s="19"/>
      <c r="B47" s="20">
        <f>DATE(2019,3,1)</f>
        <v>43525</v>
      </c>
      <c r="C47" s="21">
        <v>74820</v>
      </c>
      <c r="D47" s="21">
        <v>81477</v>
      </c>
      <c r="E47" s="23">
        <f t="shared" si="10"/>
        <v>-8.1704039176700174E-2</v>
      </c>
      <c r="F47" s="21">
        <f>+C47-42126</f>
        <v>32694</v>
      </c>
      <c r="G47" s="21">
        <f>+D47-46044</f>
        <v>35433</v>
      </c>
      <c r="H47" s="23">
        <f t="shared" si="11"/>
        <v>-7.73008212683092E-2</v>
      </c>
      <c r="I47" s="24">
        <f t="shared" si="12"/>
        <v>51.292918070034752</v>
      </c>
      <c r="J47" s="24">
        <f t="shared" si="13"/>
        <v>117.3834994188536</v>
      </c>
      <c r="K47" s="21">
        <v>3837736.13</v>
      </c>
      <c r="L47" s="21">
        <v>3874172.71</v>
      </c>
      <c r="M47" s="25">
        <f t="shared" si="14"/>
        <v>-9.4049962991970167E-3</v>
      </c>
      <c r="N47" s="10"/>
      <c r="R47" s="2"/>
    </row>
    <row r="48" spans="1:18" ht="15.75" customHeight="1" x14ac:dyDescent="0.25">
      <c r="A48" s="19"/>
      <c r="B48" s="20">
        <f>DATE(2019,4,1)</f>
        <v>43556</v>
      </c>
      <c r="C48" s="21">
        <v>63109</v>
      </c>
      <c r="D48" s="21">
        <v>68061</v>
      </c>
      <c r="E48" s="23">
        <f t="shared" si="10"/>
        <v>-7.2758260971775318E-2</v>
      </c>
      <c r="F48" s="21">
        <f>+C48-34337</f>
        <v>28772</v>
      </c>
      <c r="G48" s="21">
        <f>+D48-38034</f>
        <v>30027</v>
      </c>
      <c r="H48" s="23">
        <f t="shared" si="11"/>
        <v>-4.1795717187864255E-2</v>
      </c>
      <c r="I48" s="24">
        <f t="shared" si="12"/>
        <v>48.116084235212092</v>
      </c>
      <c r="J48" s="24">
        <f t="shared" si="13"/>
        <v>105.5386472959822</v>
      </c>
      <c r="K48" s="21">
        <v>3036557.96</v>
      </c>
      <c r="L48" s="21">
        <v>3172303.22</v>
      </c>
      <c r="M48" s="25">
        <f t="shared" si="14"/>
        <v>-4.2790758192402627E-2</v>
      </c>
      <c r="N48" s="10"/>
      <c r="R48" s="2"/>
    </row>
    <row r="49" spans="1:18" ht="15.75" customHeight="1" x14ac:dyDescent="0.25">
      <c r="A49" s="19"/>
      <c r="B49" s="20">
        <f>DATE(2019,5,1)</f>
        <v>43586</v>
      </c>
      <c r="C49" s="21">
        <v>68333</v>
      </c>
      <c r="D49" s="21">
        <v>66559</v>
      </c>
      <c r="E49" s="23">
        <f t="shared" si="10"/>
        <v>2.6653044667137426E-2</v>
      </c>
      <c r="F49" s="21">
        <f>+C49-36451</f>
        <v>31882</v>
      </c>
      <c r="G49" s="21">
        <f>+D49-36386</f>
        <v>30173</v>
      </c>
      <c r="H49" s="23">
        <f t="shared" si="11"/>
        <v>5.6640042422032945E-2</v>
      </c>
      <c r="I49" s="24">
        <f t="shared" si="12"/>
        <v>47.376672910599567</v>
      </c>
      <c r="J49" s="24">
        <f t="shared" si="13"/>
        <v>101.54288281789097</v>
      </c>
      <c r="K49" s="21">
        <v>3237390.19</v>
      </c>
      <c r="L49" s="21">
        <v>3220348.7</v>
      </c>
      <c r="M49" s="25">
        <f t="shared" si="14"/>
        <v>5.2918151379071953E-3</v>
      </c>
      <c r="N49" s="10"/>
      <c r="R49" s="2"/>
    </row>
    <row r="50" spans="1:18" ht="15.75" customHeight="1" x14ac:dyDescent="0.25">
      <c r="A50" s="19"/>
      <c r="B50" s="20">
        <f>DATE(2019,6,1)</f>
        <v>43617</v>
      </c>
      <c r="C50" s="21">
        <v>64075</v>
      </c>
      <c r="D50" s="21">
        <v>66816</v>
      </c>
      <c r="E50" s="23">
        <f t="shared" si="10"/>
        <v>-4.1023108237547894E-2</v>
      </c>
      <c r="F50" s="21">
        <f>+C50-33758</f>
        <v>30317</v>
      </c>
      <c r="G50" s="21">
        <f>+D50-36382</f>
        <v>30434</v>
      </c>
      <c r="H50" s="23">
        <f t="shared" si="11"/>
        <v>-3.84438456988894E-3</v>
      </c>
      <c r="I50" s="24">
        <f t="shared" si="12"/>
        <v>48.610176824034333</v>
      </c>
      <c r="J50" s="24">
        <f t="shared" si="13"/>
        <v>102.7376415872283</v>
      </c>
      <c r="K50" s="21">
        <v>3114697.08</v>
      </c>
      <c r="L50" s="21">
        <v>3208334.4</v>
      </c>
      <c r="M50" s="25">
        <f t="shared" si="14"/>
        <v>-2.9185648478537597E-2</v>
      </c>
      <c r="N50" s="10"/>
      <c r="R50" s="2"/>
    </row>
    <row r="51" spans="1:18" ht="15.75" customHeight="1" thickBot="1" x14ac:dyDescent="0.25">
      <c r="A51" s="38"/>
      <c r="B51" s="20"/>
      <c r="C51" s="21"/>
      <c r="D51" s="21"/>
      <c r="E51" s="23"/>
      <c r="F51" s="21"/>
      <c r="G51" s="21"/>
      <c r="H51" s="23"/>
      <c r="I51" s="24"/>
      <c r="J51" s="24"/>
      <c r="K51" s="21"/>
      <c r="L51" s="21"/>
      <c r="M51" s="25"/>
      <c r="N51" s="10"/>
      <c r="R51" s="2"/>
    </row>
    <row r="52" spans="1:18" ht="17.25" customHeight="1" thickTop="1" thickBot="1" x14ac:dyDescent="0.3">
      <c r="A52" s="39" t="s">
        <v>14</v>
      </c>
      <c r="B52" s="40"/>
      <c r="C52" s="41">
        <f>SUM(C39:C51)</f>
        <v>795679</v>
      </c>
      <c r="D52" s="41">
        <f>SUM(D39:D51)</f>
        <v>808587</v>
      </c>
      <c r="E52" s="280">
        <f>(+C52-D52)/D52</f>
        <v>-1.5963650169987891E-2</v>
      </c>
      <c r="F52" s="41">
        <f>SUM(F39:F51)</f>
        <v>362439</v>
      </c>
      <c r="G52" s="41">
        <f>SUM(G39:G51)</f>
        <v>360784</v>
      </c>
      <c r="H52" s="42">
        <f>(+F52-G52)/G52</f>
        <v>4.5872322497671741E-3</v>
      </c>
      <c r="I52" s="43">
        <f>K52/C52</f>
        <v>46.961574755648947</v>
      </c>
      <c r="J52" s="43">
        <f>K52/F52</f>
        <v>103.09690414111063</v>
      </c>
      <c r="K52" s="41">
        <f>SUM(K39:K51)</f>
        <v>37366338.839999996</v>
      </c>
      <c r="L52" s="41">
        <f>SUM(L39:L51)</f>
        <v>37283554.739999995</v>
      </c>
      <c r="M52" s="44">
        <f>(+K52-L52)/L52</f>
        <v>2.2203918209329388E-3</v>
      </c>
      <c r="N52" s="10"/>
      <c r="R52" s="2"/>
    </row>
    <row r="53" spans="1:18" ht="15.75" customHeight="1" thickTop="1" x14ac:dyDescent="0.2">
      <c r="A53" s="38"/>
      <c r="B53" s="45"/>
      <c r="C53" s="21"/>
      <c r="D53" s="21"/>
      <c r="E53" s="23"/>
      <c r="F53" s="21"/>
      <c r="G53" s="21"/>
      <c r="H53" s="23"/>
      <c r="I53" s="24"/>
      <c r="J53" s="24"/>
      <c r="K53" s="21"/>
      <c r="L53" s="21"/>
      <c r="M53" s="25"/>
      <c r="N53" s="10"/>
      <c r="R53" s="2"/>
    </row>
    <row r="54" spans="1:18" ht="15.75" customHeight="1" x14ac:dyDescent="0.25">
      <c r="A54" s="177" t="s">
        <v>65</v>
      </c>
      <c r="B54" s="20">
        <f>DATE(2018,7,1)</f>
        <v>43282</v>
      </c>
      <c r="C54" s="21">
        <v>465892</v>
      </c>
      <c r="D54" s="21">
        <v>502707</v>
      </c>
      <c r="E54" s="23">
        <f t="shared" ref="E54:E65" si="15">(+C54-D54)/D54</f>
        <v>-7.3233513756522192E-2</v>
      </c>
      <c r="F54" s="21">
        <f>+C54-233751</f>
        <v>232141</v>
      </c>
      <c r="G54" s="21">
        <f>+D54-258518</f>
        <v>244189</v>
      </c>
      <c r="H54" s="23">
        <f t="shared" ref="H54:H65" si="16">(+F54-G54)/G54</f>
        <v>-4.9338831806510532E-2</v>
      </c>
      <c r="I54" s="24">
        <f t="shared" ref="I54:I65" si="17">K54/C54</f>
        <v>43.314960162441082</v>
      </c>
      <c r="J54" s="24">
        <f t="shared" ref="J54:J65" si="18">K54/F54</f>
        <v>86.930328636475252</v>
      </c>
      <c r="K54" s="21">
        <v>20180093.420000002</v>
      </c>
      <c r="L54" s="21">
        <v>21241004.789999999</v>
      </c>
      <c r="M54" s="25">
        <f t="shared" ref="M54:M65" si="19">(+K54-L54)/L54</f>
        <v>-4.9946383445074183E-2</v>
      </c>
      <c r="N54" s="10"/>
      <c r="R54" s="2"/>
    </row>
    <row r="55" spans="1:18" ht="15.75" customHeight="1" x14ac:dyDescent="0.25">
      <c r="A55" s="177"/>
      <c r="B55" s="20">
        <f>DATE(2018,8,1)</f>
        <v>43313</v>
      </c>
      <c r="C55" s="21">
        <v>454572</v>
      </c>
      <c r="D55" s="21">
        <v>453491</v>
      </c>
      <c r="E55" s="23">
        <f t="shared" si="15"/>
        <v>2.3837297763351422E-3</v>
      </c>
      <c r="F55" s="21">
        <f>+C55-227733</f>
        <v>226839</v>
      </c>
      <c r="G55" s="21">
        <f>+D55-231314</f>
        <v>222177</v>
      </c>
      <c r="H55" s="23">
        <f t="shared" si="16"/>
        <v>2.0983270095464426E-2</v>
      </c>
      <c r="I55" s="24">
        <f t="shared" si="17"/>
        <v>44.900259452847948</v>
      </c>
      <c r="J55" s="24">
        <f t="shared" si="18"/>
        <v>89.977476271716938</v>
      </c>
      <c r="K55" s="21">
        <v>20410400.739999998</v>
      </c>
      <c r="L55" s="21">
        <v>19752724.440000001</v>
      </c>
      <c r="M55" s="25">
        <f t="shared" si="19"/>
        <v>3.329547283453102E-2</v>
      </c>
      <c r="N55" s="10"/>
      <c r="R55" s="2"/>
    </row>
    <row r="56" spans="1:18" ht="15.75" customHeight="1" x14ac:dyDescent="0.25">
      <c r="A56" s="177"/>
      <c r="B56" s="20">
        <f>DATE(2018,9,1)</f>
        <v>43344</v>
      </c>
      <c r="C56" s="21">
        <v>400695</v>
      </c>
      <c r="D56" s="21">
        <v>440378</v>
      </c>
      <c r="E56" s="23">
        <f t="shared" si="15"/>
        <v>-9.0111222631466606E-2</v>
      </c>
      <c r="F56" s="21">
        <f>+C56-202275</f>
        <v>198420</v>
      </c>
      <c r="G56" s="21">
        <f>+D56-224768</f>
        <v>215610</v>
      </c>
      <c r="H56" s="23">
        <f t="shared" si="16"/>
        <v>-7.972728537637401E-2</v>
      </c>
      <c r="I56" s="24">
        <f t="shared" si="17"/>
        <v>48.476679269768773</v>
      </c>
      <c r="J56" s="24">
        <f t="shared" si="18"/>
        <v>97.895186977119238</v>
      </c>
      <c r="K56" s="21">
        <v>19424363</v>
      </c>
      <c r="L56" s="21">
        <v>19993375.760000002</v>
      </c>
      <c r="M56" s="25">
        <f t="shared" si="19"/>
        <v>-2.8460064314821919E-2</v>
      </c>
      <c r="N56" s="10"/>
      <c r="R56" s="2"/>
    </row>
    <row r="57" spans="1:18" ht="15.75" customHeight="1" x14ac:dyDescent="0.25">
      <c r="A57" s="177"/>
      <c r="B57" s="20">
        <f>DATE(2018,10,1)</f>
        <v>43374</v>
      </c>
      <c r="C57" s="21">
        <v>385385</v>
      </c>
      <c r="D57" s="21">
        <v>419713</v>
      </c>
      <c r="E57" s="23">
        <f t="shared" si="15"/>
        <v>-8.1789222635467576E-2</v>
      </c>
      <c r="F57" s="21">
        <f>+C57-195549</f>
        <v>189836</v>
      </c>
      <c r="G57" s="21">
        <f>+D57-218072</f>
        <v>201641</v>
      </c>
      <c r="H57" s="23">
        <f t="shared" si="16"/>
        <v>-5.8544641218799751E-2</v>
      </c>
      <c r="I57" s="24">
        <f t="shared" si="17"/>
        <v>47.103471385757103</v>
      </c>
      <c r="J57" s="24">
        <f t="shared" si="18"/>
        <v>95.624493352156605</v>
      </c>
      <c r="K57" s="21">
        <v>18152971.32</v>
      </c>
      <c r="L57" s="21">
        <v>18150595.489999998</v>
      </c>
      <c r="M57" s="25">
        <f t="shared" si="19"/>
        <v>1.3089542992189383E-4</v>
      </c>
      <c r="N57" s="10"/>
      <c r="R57" s="2"/>
    </row>
    <row r="58" spans="1:18" ht="15.75" customHeight="1" x14ac:dyDescent="0.25">
      <c r="A58" s="177"/>
      <c r="B58" s="20">
        <f>DATE(2018,11,1)</f>
        <v>43405</v>
      </c>
      <c r="C58" s="21">
        <v>374346</v>
      </c>
      <c r="D58" s="21">
        <v>408603</v>
      </c>
      <c r="E58" s="23">
        <f t="shared" si="15"/>
        <v>-8.3839325702454462E-2</v>
      </c>
      <c r="F58" s="21">
        <f>+C58-191013</f>
        <v>183333</v>
      </c>
      <c r="G58" s="21">
        <f>+D58-210845</f>
        <v>197758</v>
      </c>
      <c r="H58" s="23">
        <f t="shared" si="16"/>
        <v>-7.2942687527179681E-2</v>
      </c>
      <c r="I58" s="24">
        <f t="shared" si="17"/>
        <v>47.420801557917002</v>
      </c>
      <c r="J58" s="24">
        <f t="shared" si="18"/>
        <v>96.828107214740385</v>
      </c>
      <c r="K58" s="21">
        <v>17751787.379999999</v>
      </c>
      <c r="L58" s="21">
        <v>18468735.18</v>
      </c>
      <c r="M58" s="25">
        <f t="shared" si="19"/>
        <v>-3.8819539779659171E-2</v>
      </c>
      <c r="N58" s="10"/>
      <c r="R58" s="2"/>
    </row>
    <row r="59" spans="1:18" ht="15.75" customHeight="1" x14ac:dyDescent="0.25">
      <c r="A59" s="177"/>
      <c r="B59" s="20">
        <f>DATE(2018,12,1)</f>
        <v>43435</v>
      </c>
      <c r="C59" s="21">
        <v>412048</v>
      </c>
      <c r="D59" s="21">
        <v>449629</v>
      </c>
      <c r="E59" s="23">
        <f t="shared" si="15"/>
        <v>-8.3582242248609412E-2</v>
      </c>
      <c r="F59" s="21">
        <f>+C59-211961</f>
        <v>200087</v>
      </c>
      <c r="G59" s="21">
        <f>+D59-233187</f>
        <v>216442</v>
      </c>
      <c r="H59" s="23">
        <f t="shared" si="16"/>
        <v>-7.5562968370279329E-2</v>
      </c>
      <c r="I59" s="24">
        <f t="shared" si="17"/>
        <v>46.91464098842853</v>
      </c>
      <c r="J59" s="24">
        <f t="shared" si="18"/>
        <v>96.613393123991059</v>
      </c>
      <c r="K59" s="21">
        <v>19331083.989999998</v>
      </c>
      <c r="L59" s="21">
        <v>20150034.73</v>
      </c>
      <c r="M59" s="25">
        <f t="shared" si="19"/>
        <v>-4.0642646574733821E-2</v>
      </c>
      <c r="N59" s="10"/>
      <c r="R59" s="2"/>
    </row>
    <row r="60" spans="1:18" ht="15.75" customHeight="1" x14ac:dyDescent="0.25">
      <c r="A60" s="177"/>
      <c r="B60" s="20">
        <f>DATE(2019,1,1)</f>
        <v>43466</v>
      </c>
      <c r="C60" s="21">
        <v>344029</v>
      </c>
      <c r="D60" s="21">
        <v>391423</v>
      </c>
      <c r="E60" s="23">
        <f t="shared" si="15"/>
        <v>-0.12108128546355222</v>
      </c>
      <c r="F60" s="21">
        <f>+C60-177399</f>
        <v>166630</v>
      </c>
      <c r="G60" s="21">
        <f>+D60-204825</f>
        <v>186598</v>
      </c>
      <c r="H60" s="23">
        <f t="shared" si="16"/>
        <v>-0.10701079325609063</v>
      </c>
      <c r="I60" s="24">
        <f t="shared" si="17"/>
        <v>47.706946565551156</v>
      </c>
      <c r="J60" s="24">
        <f t="shared" si="18"/>
        <v>98.497108083778429</v>
      </c>
      <c r="K60" s="21">
        <v>16412573.119999999</v>
      </c>
      <c r="L60" s="21">
        <v>17738011.18</v>
      </c>
      <c r="M60" s="25">
        <f t="shared" si="19"/>
        <v>-7.4723036678117624E-2</v>
      </c>
      <c r="N60" s="10"/>
      <c r="R60" s="2"/>
    </row>
    <row r="61" spans="1:18" ht="15.75" customHeight="1" x14ac:dyDescent="0.25">
      <c r="A61" s="177"/>
      <c r="B61" s="20">
        <f>DATE(2019,2,1)</f>
        <v>43497</v>
      </c>
      <c r="C61" s="21">
        <v>384321</v>
      </c>
      <c r="D61" s="21">
        <v>413419</v>
      </c>
      <c r="E61" s="23">
        <f t="shared" si="15"/>
        <v>-7.0383799486719287E-2</v>
      </c>
      <c r="F61" s="21">
        <f>+C61-196867</f>
        <v>187454</v>
      </c>
      <c r="G61" s="21">
        <f>+D61-213480</f>
        <v>199939</v>
      </c>
      <c r="H61" s="23">
        <f t="shared" si="16"/>
        <v>-6.2444045433857329E-2</v>
      </c>
      <c r="I61" s="24">
        <f t="shared" si="17"/>
        <v>48.37954376679911</v>
      </c>
      <c r="J61" s="24">
        <f t="shared" si="18"/>
        <v>99.188465650239522</v>
      </c>
      <c r="K61" s="21">
        <v>18593274.640000001</v>
      </c>
      <c r="L61" s="21">
        <v>18792291.010000002</v>
      </c>
      <c r="M61" s="25">
        <f t="shared" si="19"/>
        <v>-1.0590319716425094E-2</v>
      </c>
      <c r="N61" s="10"/>
      <c r="R61" s="2"/>
    </row>
    <row r="62" spans="1:18" ht="15.75" customHeight="1" x14ac:dyDescent="0.25">
      <c r="A62" s="177"/>
      <c r="B62" s="20">
        <f>DATE(2019,3,1)</f>
        <v>43525</v>
      </c>
      <c r="C62" s="21">
        <v>466183</v>
      </c>
      <c r="D62" s="21">
        <v>490262</v>
      </c>
      <c r="E62" s="23">
        <f t="shared" si="15"/>
        <v>-4.911455507463356E-2</v>
      </c>
      <c r="F62" s="21">
        <f>+C62-241983</f>
        <v>224200</v>
      </c>
      <c r="G62" s="21">
        <f>+D62-252614</f>
        <v>237648</v>
      </c>
      <c r="H62" s="23">
        <f t="shared" si="16"/>
        <v>-5.6587894701407127E-2</v>
      </c>
      <c r="I62" s="24">
        <f t="shared" si="17"/>
        <v>49.300690780230077</v>
      </c>
      <c r="J62" s="24">
        <f t="shared" si="18"/>
        <v>102.51179272970562</v>
      </c>
      <c r="K62" s="21">
        <v>22983143.93</v>
      </c>
      <c r="L62" s="21">
        <v>22111387.34</v>
      </c>
      <c r="M62" s="25">
        <f t="shared" si="19"/>
        <v>3.9425684901416042E-2</v>
      </c>
      <c r="N62" s="10"/>
      <c r="R62" s="2"/>
    </row>
    <row r="63" spans="1:18" ht="15.75" customHeight="1" x14ac:dyDescent="0.25">
      <c r="A63" s="177"/>
      <c r="B63" s="20">
        <f>DATE(2019,4,1)</f>
        <v>43556</v>
      </c>
      <c r="C63" s="21">
        <v>375553</v>
      </c>
      <c r="D63" s="21">
        <v>432206</v>
      </c>
      <c r="E63" s="23">
        <f t="shared" si="15"/>
        <v>-0.13107869858354582</v>
      </c>
      <c r="F63" s="21">
        <f>+C63-190026</f>
        <v>185527</v>
      </c>
      <c r="G63" s="21">
        <f>+D63-222217</f>
        <v>209989</v>
      </c>
      <c r="H63" s="23">
        <f t="shared" si="16"/>
        <v>-0.11649181623799341</v>
      </c>
      <c r="I63" s="24">
        <f t="shared" si="17"/>
        <v>50.086547810828293</v>
      </c>
      <c r="J63" s="24">
        <f t="shared" si="18"/>
        <v>101.38768637448996</v>
      </c>
      <c r="K63" s="21">
        <v>18810153.289999999</v>
      </c>
      <c r="L63" s="21">
        <v>20660651.280000001</v>
      </c>
      <c r="M63" s="25">
        <f t="shared" si="19"/>
        <v>-8.9566295124071327E-2</v>
      </c>
      <c r="N63" s="10"/>
      <c r="R63" s="2"/>
    </row>
    <row r="64" spans="1:18" ht="15.75" customHeight="1" x14ac:dyDescent="0.25">
      <c r="A64" s="177"/>
      <c r="B64" s="20">
        <f>DATE(2019,5,1)</f>
        <v>43586</v>
      </c>
      <c r="C64" s="21">
        <v>427877</v>
      </c>
      <c r="D64" s="21">
        <v>448369</v>
      </c>
      <c r="E64" s="23">
        <f t="shared" si="15"/>
        <v>-4.5703427310987157E-2</v>
      </c>
      <c r="F64" s="21">
        <f>+C64-215501</f>
        <v>212376</v>
      </c>
      <c r="G64" s="21">
        <f>+D64-226014</f>
        <v>222355</v>
      </c>
      <c r="H64" s="23">
        <f t="shared" si="16"/>
        <v>-4.4878684985721035E-2</v>
      </c>
      <c r="I64" s="24">
        <f t="shared" si="17"/>
        <v>48.764381142244147</v>
      </c>
      <c r="J64" s="24">
        <f t="shared" si="18"/>
        <v>98.246304243417327</v>
      </c>
      <c r="K64" s="21">
        <v>20865157.109999999</v>
      </c>
      <c r="L64" s="21">
        <v>19701549.010000002</v>
      </c>
      <c r="M64" s="25">
        <f t="shared" si="19"/>
        <v>5.9061756992274062E-2</v>
      </c>
      <c r="N64" s="10"/>
      <c r="R64" s="2"/>
    </row>
    <row r="65" spans="1:18" ht="15.75" customHeight="1" x14ac:dyDescent="0.25">
      <c r="A65" s="177"/>
      <c r="B65" s="20">
        <f>DATE(2019,6,1)</f>
        <v>43617</v>
      </c>
      <c r="C65" s="21">
        <v>419586</v>
      </c>
      <c r="D65" s="21">
        <v>442670</v>
      </c>
      <c r="E65" s="23">
        <f t="shared" si="15"/>
        <v>-5.2147197686764409E-2</v>
      </c>
      <c r="F65" s="21">
        <f>+C65-214565</f>
        <v>205021</v>
      </c>
      <c r="G65" s="21">
        <f>+D65-224300</f>
        <v>218370</v>
      </c>
      <c r="H65" s="23">
        <f t="shared" si="16"/>
        <v>-6.1130191876173468E-2</v>
      </c>
      <c r="I65" s="24">
        <f t="shared" si="17"/>
        <v>49.005059415709766</v>
      </c>
      <c r="J65" s="24">
        <f t="shared" si="18"/>
        <v>100.29136946946898</v>
      </c>
      <c r="K65" s="21">
        <v>20561836.859999999</v>
      </c>
      <c r="L65" s="21">
        <v>19354335.969999999</v>
      </c>
      <c r="M65" s="25">
        <f t="shared" si="19"/>
        <v>6.2389166534655371E-2</v>
      </c>
      <c r="N65" s="10"/>
      <c r="R65" s="2"/>
    </row>
    <row r="66" spans="1:18" ht="15.75" thickBot="1" x14ac:dyDescent="0.25">
      <c r="A66" s="38"/>
      <c r="B66" s="45"/>
      <c r="C66" s="21"/>
      <c r="D66" s="21"/>
      <c r="E66" s="23"/>
      <c r="F66" s="21"/>
      <c r="G66" s="21"/>
      <c r="H66" s="23"/>
      <c r="I66" s="24"/>
      <c r="J66" s="24"/>
      <c r="K66" s="21"/>
      <c r="L66" s="21"/>
      <c r="M66" s="25"/>
      <c r="N66" s="10"/>
      <c r="R66" s="2"/>
    </row>
    <row r="67" spans="1:18" ht="17.25" thickTop="1" thickBot="1" x14ac:dyDescent="0.3">
      <c r="A67" s="39" t="s">
        <v>14</v>
      </c>
      <c r="B67" s="40"/>
      <c r="C67" s="41">
        <f>SUM(C54:C66)</f>
        <v>4910487</v>
      </c>
      <c r="D67" s="41">
        <f>SUM(D54:D66)</f>
        <v>5292870</v>
      </c>
      <c r="E67" s="280">
        <f>(+C67-D67)/D67</f>
        <v>-7.2244925720828204E-2</v>
      </c>
      <c r="F67" s="41">
        <f>SUM(F54:F66)</f>
        <v>2411864</v>
      </c>
      <c r="G67" s="41">
        <f>SUM(G54:G66)</f>
        <v>2572716</v>
      </c>
      <c r="H67" s="42">
        <f>(+F67-G67)/G67</f>
        <v>-6.2522252747679891E-2</v>
      </c>
      <c r="I67" s="43">
        <f>K67/C67</f>
        <v>47.546575074936563</v>
      </c>
      <c r="J67" s="43">
        <f>K67/F67</f>
        <v>96.803484276062008</v>
      </c>
      <c r="K67" s="41">
        <f>SUM(K54:K66)</f>
        <v>233476838.80000001</v>
      </c>
      <c r="L67" s="41">
        <f>SUM(L54:L66)</f>
        <v>236114696.17999998</v>
      </c>
      <c r="M67" s="44">
        <f>(+K67-L67)/L67</f>
        <v>-1.1171932212084833E-2</v>
      </c>
      <c r="N67" s="10"/>
      <c r="R67" s="2"/>
    </row>
    <row r="68" spans="1:18" ht="15.75" thickTop="1" x14ac:dyDescent="0.2">
      <c r="A68" s="38"/>
      <c r="B68" s="45"/>
      <c r="C68" s="21"/>
      <c r="D68" s="21"/>
      <c r="E68" s="23"/>
      <c r="F68" s="21"/>
      <c r="G68" s="21"/>
      <c r="H68" s="23"/>
      <c r="I68" s="24"/>
      <c r="J68" s="24"/>
      <c r="K68" s="21"/>
      <c r="L68" s="21"/>
      <c r="M68" s="25"/>
      <c r="N68" s="10"/>
      <c r="R68" s="2"/>
    </row>
    <row r="69" spans="1:18" ht="15.75" x14ac:dyDescent="0.25">
      <c r="A69" s="19" t="s">
        <v>16</v>
      </c>
      <c r="B69" s="20">
        <f>DATE(2018,7,1)</f>
        <v>43282</v>
      </c>
      <c r="C69" s="21">
        <v>289167</v>
      </c>
      <c r="D69" s="21">
        <v>332127</v>
      </c>
      <c r="E69" s="23">
        <f t="shared" ref="E69:E80" si="20">(+C69-D69)/D69</f>
        <v>-0.12934811081303235</v>
      </c>
      <c r="F69" s="21">
        <f>+C69-134357</f>
        <v>154810</v>
      </c>
      <c r="G69" s="21">
        <f>+D69-153372</f>
        <v>178755</v>
      </c>
      <c r="H69" s="23">
        <f t="shared" ref="H69:H80" si="21">(+F69-G69)/G69</f>
        <v>-0.13395429498475567</v>
      </c>
      <c r="I69" s="24">
        <f t="shared" ref="I69:I80" si="22">K69/C69</f>
        <v>51.510231907513656</v>
      </c>
      <c r="J69" s="24">
        <f t="shared" ref="J69:J80" si="23">K69/F69</f>
        <v>96.21509740972806</v>
      </c>
      <c r="K69" s="21">
        <v>14895059.23</v>
      </c>
      <c r="L69" s="21">
        <v>16977556.68</v>
      </c>
      <c r="M69" s="25">
        <f t="shared" ref="M69:M80" si="24">(+K69-L69)/L69</f>
        <v>-0.12266178751464485</v>
      </c>
      <c r="N69" s="10"/>
      <c r="R69" s="2"/>
    </row>
    <row r="70" spans="1:18" ht="15.75" x14ac:dyDescent="0.25">
      <c r="A70" s="19"/>
      <c r="B70" s="20">
        <f>DATE(2018,8,1)</f>
        <v>43313</v>
      </c>
      <c r="C70" s="21">
        <v>292132</v>
      </c>
      <c r="D70" s="21">
        <v>318460</v>
      </c>
      <c r="E70" s="23">
        <f t="shared" si="20"/>
        <v>-8.2672863153928286E-2</v>
      </c>
      <c r="F70" s="21">
        <f>+C70-136807</f>
        <v>155325</v>
      </c>
      <c r="G70" s="21">
        <f>+D70-146549</f>
        <v>171911</v>
      </c>
      <c r="H70" s="23">
        <f t="shared" si="21"/>
        <v>-9.6480155429262818E-2</v>
      </c>
      <c r="I70" s="24">
        <f t="shared" si="22"/>
        <v>49.941217497569589</v>
      </c>
      <c r="J70" s="24">
        <f t="shared" si="23"/>
        <v>93.928393690648633</v>
      </c>
      <c r="K70" s="21">
        <v>14589427.75</v>
      </c>
      <c r="L70" s="21">
        <v>15578003.460000001</v>
      </c>
      <c r="M70" s="25">
        <f t="shared" si="24"/>
        <v>-6.3459718219885469E-2</v>
      </c>
      <c r="N70" s="10"/>
      <c r="R70" s="2"/>
    </row>
    <row r="71" spans="1:18" ht="15.75" x14ac:dyDescent="0.25">
      <c r="A71" s="19"/>
      <c r="B71" s="20">
        <f>DATE(2018,9,1)</f>
        <v>43344</v>
      </c>
      <c r="C71" s="21">
        <v>292955</v>
      </c>
      <c r="D71" s="21">
        <v>319116</v>
      </c>
      <c r="E71" s="23">
        <f t="shared" si="20"/>
        <v>-8.197959362739568E-2</v>
      </c>
      <c r="F71" s="21">
        <f>+C71-135433</f>
        <v>157522</v>
      </c>
      <c r="G71" s="21">
        <f>+D71-146330</f>
        <v>172786</v>
      </c>
      <c r="H71" s="23">
        <f t="shared" si="21"/>
        <v>-8.8340490549002809E-2</v>
      </c>
      <c r="I71" s="24">
        <f t="shared" si="22"/>
        <v>51.9962153231725</v>
      </c>
      <c r="J71" s="24">
        <f t="shared" si="23"/>
        <v>96.701103718845616</v>
      </c>
      <c r="K71" s="21">
        <v>15232551.26</v>
      </c>
      <c r="L71" s="21">
        <v>15578279.970000001</v>
      </c>
      <c r="M71" s="25">
        <f t="shared" si="24"/>
        <v>-2.219299631703826E-2</v>
      </c>
      <c r="N71" s="10"/>
      <c r="R71" s="2"/>
    </row>
    <row r="72" spans="1:18" ht="15.75" x14ac:dyDescent="0.25">
      <c r="A72" s="19"/>
      <c r="B72" s="20">
        <f>DATE(2018,10,1)</f>
        <v>43374</v>
      </c>
      <c r="C72" s="21">
        <v>283107</v>
      </c>
      <c r="D72" s="21">
        <v>307325</v>
      </c>
      <c r="E72" s="23">
        <f t="shared" si="20"/>
        <v>-7.8802570568616281E-2</v>
      </c>
      <c r="F72" s="21">
        <f>+C72-129714</f>
        <v>153393</v>
      </c>
      <c r="G72" s="21">
        <f>+D72-144149</f>
        <v>163176</v>
      </c>
      <c r="H72" s="23">
        <f t="shared" si="21"/>
        <v>-5.9953669657302547E-2</v>
      </c>
      <c r="I72" s="24">
        <f t="shared" si="22"/>
        <v>51.856895484746047</v>
      </c>
      <c r="J72" s="24">
        <f t="shared" si="23"/>
        <v>95.708735796287968</v>
      </c>
      <c r="K72" s="21">
        <v>14681050.109999999</v>
      </c>
      <c r="L72" s="21">
        <v>14357514.98</v>
      </c>
      <c r="M72" s="25">
        <f t="shared" si="24"/>
        <v>2.2534201110058598E-2</v>
      </c>
      <c r="N72" s="10"/>
      <c r="R72" s="2"/>
    </row>
    <row r="73" spans="1:18" ht="15.75" x14ac:dyDescent="0.25">
      <c r="A73" s="19"/>
      <c r="B73" s="20">
        <f>DATE(2018,11,1)</f>
        <v>43405</v>
      </c>
      <c r="C73" s="21">
        <v>270987</v>
      </c>
      <c r="D73" s="21">
        <v>280587</v>
      </c>
      <c r="E73" s="23">
        <f t="shared" si="20"/>
        <v>-3.421398710560361E-2</v>
      </c>
      <c r="F73" s="21">
        <f>+C73-127087</f>
        <v>143900</v>
      </c>
      <c r="G73" s="21">
        <f>+D73-134796</f>
        <v>145791</v>
      </c>
      <c r="H73" s="23">
        <f t="shared" si="21"/>
        <v>-1.2970622329224713E-2</v>
      </c>
      <c r="I73" s="24">
        <f t="shared" si="22"/>
        <v>50.922366091362321</v>
      </c>
      <c r="J73" s="24">
        <f t="shared" si="23"/>
        <v>95.895060597637254</v>
      </c>
      <c r="K73" s="21">
        <v>13799299.220000001</v>
      </c>
      <c r="L73" s="21">
        <v>14099125.18</v>
      </c>
      <c r="M73" s="25">
        <f t="shared" si="24"/>
        <v>-2.1265571882808053E-2</v>
      </c>
      <c r="N73" s="10"/>
      <c r="R73" s="2"/>
    </row>
    <row r="74" spans="1:18" ht="15.75" x14ac:dyDescent="0.25">
      <c r="A74" s="19"/>
      <c r="B74" s="20">
        <f>DATE(2018,12,1)</f>
        <v>43435</v>
      </c>
      <c r="C74" s="21">
        <v>307184</v>
      </c>
      <c r="D74" s="21">
        <v>306888</v>
      </c>
      <c r="E74" s="23">
        <f t="shared" si="20"/>
        <v>9.6452125856990169E-4</v>
      </c>
      <c r="F74" s="21">
        <f>+C74-142869</f>
        <v>164315</v>
      </c>
      <c r="G74" s="21">
        <f>+D74-144117</f>
        <v>162771</v>
      </c>
      <c r="H74" s="23">
        <f t="shared" si="21"/>
        <v>9.4857192005947007E-3</v>
      </c>
      <c r="I74" s="24">
        <f t="shared" si="22"/>
        <v>50.741745435960205</v>
      </c>
      <c r="J74" s="24">
        <f t="shared" si="23"/>
        <v>94.860799866110824</v>
      </c>
      <c r="K74" s="21">
        <v>15587052.33</v>
      </c>
      <c r="L74" s="21">
        <v>14839139.050000001</v>
      </c>
      <c r="M74" s="25">
        <f t="shared" si="24"/>
        <v>5.0401393064646784E-2</v>
      </c>
      <c r="N74" s="10"/>
      <c r="R74" s="2"/>
    </row>
    <row r="75" spans="1:18" ht="15.75" x14ac:dyDescent="0.25">
      <c r="A75" s="19"/>
      <c r="B75" s="20">
        <f>DATE(2019,1,1)</f>
        <v>43466</v>
      </c>
      <c r="C75" s="21">
        <v>270469</v>
      </c>
      <c r="D75" s="21">
        <v>266667</v>
      </c>
      <c r="E75" s="23">
        <f t="shared" si="20"/>
        <v>1.4257482178147277E-2</v>
      </c>
      <c r="F75" s="21">
        <f>+C75-125284</f>
        <v>145185</v>
      </c>
      <c r="G75" s="21">
        <f>+D75-126251</f>
        <v>140416</v>
      </c>
      <c r="H75" s="23">
        <f t="shared" si="21"/>
        <v>3.3963365998176849E-2</v>
      </c>
      <c r="I75" s="24">
        <f t="shared" si="22"/>
        <v>46.274182216815973</v>
      </c>
      <c r="J75" s="24">
        <f t="shared" si="23"/>
        <v>86.205405448221228</v>
      </c>
      <c r="K75" s="21">
        <v>12515731.789999999</v>
      </c>
      <c r="L75" s="21">
        <v>12464689.92</v>
      </c>
      <c r="M75" s="25">
        <f t="shared" si="24"/>
        <v>4.0949169476009861E-3</v>
      </c>
      <c r="N75" s="10"/>
      <c r="R75" s="2"/>
    </row>
    <row r="76" spans="1:18" ht="15.75" x14ac:dyDescent="0.25">
      <c r="A76" s="19"/>
      <c r="B76" s="20">
        <f>DATE(2019,2,1)</f>
        <v>43497</v>
      </c>
      <c r="C76" s="21">
        <v>258062</v>
      </c>
      <c r="D76" s="21">
        <v>270857</v>
      </c>
      <c r="E76" s="23">
        <f t="shared" si="20"/>
        <v>-4.7238948965690385E-2</v>
      </c>
      <c r="F76" s="21">
        <f>+C76-117954</f>
        <v>140108</v>
      </c>
      <c r="G76" s="21">
        <f>+D76-128704</f>
        <v>142153</v>
      </c>
      <c r="H76" s="23">
        <f t="shared" si="21"/>
        <v>-1.4385908141228114E-2</v>
      </c>
      <c r="I76" s="24">
        <f t="shared" si="22"/>
        <v>47.38271306895242</v>
      </c>
      <c r="J76" s="24">
        <f t="shared" si="23"/>
        <v>87.273229936905807</v>
      </c>
      <c r="K76" s="21">
        <v>12227677.699999999</v>
      </c>
      <c r="L76" s="21">
        <v>12877404.859999999</v>
      </c>
      <c r="M76" s="25">
        <f t="shared" si="24"/>
        <v>-5.0454821220865163E-2</v>
      </c>
      <c r="N76" s="10"/>
      <c r="R76" s="2"/>
    </row>
    <row r="77" spans="1:18" ht="15.75" x14ac:dyDescent="0.25">
      <c r="A77" s="19"/>
      <c r="B77" s="20">
        <f>DATE(2019,3,1)</f>
        <v>43525</v>
      </c>
      <c r="C77" s="21">
        <v>321088</v>
      </c>
      <c r="D77" s="21">
        <v>316084</v>
      </c>
      <c r="E77" s="23">
        <f t="shared" si="20"/>
        <v>1.5831234735070424E-2</v>
      </c>
      <c r="F77" s="21">
        <f>+C77-149417</f>
        <v>171671</v>
      </c>
      <c r="G77" s="21">
        <f>+D77-148506</f>
        <v>167578</v>
      </c>
      <c r="H77" s="23">
        <f t="shared" si="21"/>
        <v>2.4424447123130723E-2</v>
      </c>
      <c r="I77" s="24">
        <f t="shared" si="22"/>
        <v>55.952626663095472</v>
      </c>
      <c r="J77" s="24">
        <f t="shared" si="23"/>
        <v>104.65202037618467</v>
      </c>
      <c r="K77" s="21">
        <v>17965716.989999998</v>
      </c>
      <c r="L77" s="21">
        <v>15593527.59</v>
      </c>
      <c r="M77" s="25">
        <f t="shared" si="24"/>
        <v>0.15212654008585355</v>
      </c>
      <c r="N77" s="10"/>
      <c r="R77" s="2"/>
    </row>
    <row r="78" spans="1:18" ht="15.75" x14ac:dyDescent="0.25">
      <c r="A78" s="19"/>
      <c r="B78" s="20">
        <f>DATE(2019,4,1)</f>
        <v>43556</v>
      </c>
      <c r="C78" s="21">
        <v>281827</v>
      </c>
      <c r="D78" s="21">
        <v>286029</v>
      </c>
      <c r="E78" s="23">
        <f t="shared" si="20"/>
        <v>-1.4690818063902612E-2</v>
      </c>
      <c r="F78" s="21">
        <f>+C78-132506</f>
        <v>149321</v>
      </c>
      <c r="G78" s="21">
        <f>+D78-135899</f>
        <v>150130</v>
      </c>
      <c r="H78" s="23">
        <f t="shared" si="21"/>
        <v>-5.388663158595884E-3</v>
      </c>
      <c r="I78" s="24">
        <f t="shared" si="22"/>
        <v>50.945597228086733</v>
      </c>
      <c r="J78" s="24">
        <f t="shared" si="23"/>
        <v>96.154223652399864</v>
      </c>
      <c r="K78" s="21">
        <v>14357844.83</v>
      </c>
      <c r="L78" s="21">
        <v>13890244.65</v>
      </c>
      <c r="M78" s="25">
        <f t="shared" si="24"/>
        <v>3.3663926862512079E-2</v>
      </c>
      <c r="N78" s="10"/>
      <c r="R78" s="2"/>
    </row>
    <row r="79" spans="1:18" ht="15.75" x14ac:dyDescent="0.25">
      <c r="A79" s="19"/>
      <c r="B79" s="20">
        <f>DATE(2019,5,1)</f>
        <v>43586</v>
      </c>
      <c r="C79" s="21">
        <v>301483</v>
      </c>
      <c r="D79" s="21">
        <v>278772</v>
      </c>
      <c r="E79" s="23">
        <f t="shared" si="20"/>
        <v>8.1468009699682889E-2</v>
      </c>
      <c r="F79" s="21">
        <f>+C79-140257</f>
        <v>161226</v>
      </c>
      <c r="G79" s="21">
        <f>+D79-132167</f>
        <v>146605</v>
      </c>
      <c r="H79" s="23">
        <f t="shared" si="21"/>
        <v>9.9730568534497466E-2</v>
      </c>
      <c r="I79" s="24">
        <f t="shared" si="22"/>
        <v>57.615860827973719</v>
      </c>
      <c r="J79" s="24">
        <f t="shared" si="23"/>
        <v>107.73822193690845</v>
      </c>
      <c r="K79" s="21">
        <v>17370202.57</v>
      </c>
      <c r="L79" s="21">
        <v>13329198.300000001</v>
      </c>
      <c r="M79" s="25">
        <f t="shared" si="24"/>
        <v>0.30316934139992496</v>
      </c>
      <c r="N79" s="10"/>
      <c r="R79" s="2"/>
    </row>
    <row r="80" spans="1:18" ht="15.75" x14ac:dyDescent="0.25">
      <c r="A80" s="19"/>
      <c r="B80" s="20">
        <f>DATE(2019,6,1)</f>
        <v>43617</v>
      </c>
      <c r="C80" s="21">
        <v>282384</v>
      </c>
      <c r="D80" s="21">
        <v>278300</v>
      </c>
      <c r="E80" s="23">
        <f t="shared" si="20"/>
        <v>1.4674811354653252E-2</v>
      </c>
      <c r="F80" s="21">
        <f>+C80-128030</f>
        <v>154354</v>
      </c>
      <c r="G80" s="21">
        <f>+D80-130570</f>
        <v>147730</v>
      </c>
      <c r="H80" s="23">
        <f t="shared" si="21"/>
        <v>4.48385568266432E-2</v>
      </c>
      <c r="I80" s="24">
        <f t="shared" si="22"/>
        <v>51.280387805258087</v>
      </c>
      <c r="J80" s="24">
        <f t="shared" si="23"/>
        <v>93.815262513443116</v>
      </c>
      <c r="K80" s="21">
        <v>14480761.029999999</v>
      </c>
      <c r="L80" s="21">
        <v>14592017.560000001</v>
      </c>
      <c r="M80" s="25">
        <f t="shared" si="24"/>
        <v>-7.6244789003667556E-3</v>
      </c>
      <c r="N80" s="10"/>
      <c r="R80" s="2"/>
    </row>
    <row r="81" spans="1:18" ht="15.75" thickBot="1" x14ac:dyDescent="0.25">
      <c r="A81" s="38"/>
      <c r="B81" s="20"/>
      <c r="C81" s="21"/>
      <c r="D81" s="21"/>
      <c r="E81" s="23"/>
      <c r="F81" s="21"/>
      <c r="G81" s="21"/>
      <c r="H81" s="23"/>
      <c r="I81" s="24"/>
      <c r="J81" s="24"/>
      <c r="K81" s="21"/>
      <c r="L81" s="21"/>
      <c r="M81" s="25"/>
      <c r="N81" s="10"/>
      <c r="R81" s="2"/>
    </row>
    <row r="82" spans="1:18" ht="17.25" thickTop="1" thickBot="1" x14ac:dyDescent="0.3">
      <c r="A82" s="39" t="s">
        <v>14</v>
      </c>
      <c r="B82" s="40"/>
      <c r="C82" s="41">
        <f>SUM(C69:C81)</f>
        <v>3450845</v>
      </c>
      <c r="D82" s="41">
        <f>SUM(D69:D81)</f>
        <v>3561212</v>
      </c>
      <c r="E82" s="281">
        <f>(+C82-D82)/D82</f>
        <v>-3.0991415282212911E-2</v>
      </c>
      <c r="F82" s="47">
        <f>SUM(F69:F81)</f>
        <v>1851130</v>
      </c>
      <c r="G82" s="48">
        <f>SUM(G69:G81)</f>
        <v>1889802</v>
      </c>
      <c r="H82" s="49">
        <f>(+F82-G82)/G82</f>
        <v>-2.0463519458652282E-2</v>
      </c>
      <c r="I82" s="50">
        <f>K82/C82</f>
        <v>51.495322105165549</v>
      </c>
      <c r="J82" s="51">
        <f>K82/F82</f>
        <v>95.996701911805218</v>
      </c>
      <c r="K82" s="48">
        <f>SUM(K69:K81)</f>
        <v>177702374.81</v>
      </c>
      <c r="L82" s="47">
        <f>SUM(L69:L81)</f>
        <v>174176702.20000002</v>
      </c>
      <c r="M82" s="44">
        <f>(+K82-L82)/L82</f>
        <v>2.0241929979542259E-2</v>
      </c>
      <c r="N82" s="10"/>
      <c r="R82" s="2"/>
    </row>
    <row r="83" spans="1:18" ht="15.75" customHeight="1" thickTop="1" x14ac:dyDescent="0.25">
      <c r="A83" s="273"/>
      <c r="B83" s="45"/>
      <c r="C83" s="21"/>
      <c r="D83" s="21"/>
      <c r="E83" s="23"/>
      <c r="F83" s="21"/>
      <c r="G83" s="21"/>
      <c r="H83" s="23"/>
      <c r="I83" s="24"/>
      <c r="J83" s="24"/>
      <c r="K83" s="21"/>
      <c r="L83" s="21"/>
      <c r="M83" s="25"/>
      <c r="N83" s="10"/>
      <c r="R83" s="2"/>
    </row>
    <row r="84" spans="1:18" ht="15.75" x14ac:dyDescent="0.25">
      <c r="A84" s="274" t="s">
        <v>66</v>
      </c>
      <c r="B84" s="20">
        <f>DATE(2018,7,1)</f>
        <v>43282</v>
      </c>
      <c r="C84" s="21">
        <v>129160</v>
      </c>
      <c r="D84" s="21">
        <v>155680</v>
      </c>
      <c r="E84" s="23">
        <f t="shared" ref="E84:E95" si="25">(+C84-D84)/D84</f>
        <v>-0.17034943473792394</v>
      </c>
      <c r="F84" s="21">
        <f>+C84-62596</f>
        <v>66564</v>
      </c>
      <c r="G84" s="21">
        <f>+D84-76075</f>
        <v>79605</v>
      </c>
      <c r="H84" s="23">
        <f t="shared" ref="H84:H95" si="26">(+F84-G84)/G84</f>
        <v>-0.16382136800452232</v>
      </c>
      <c r="I84" s="24">
        <f t="shared" ref="I84:I95" si="27">K84/C84</f>
        <v>40.406414911737379</v>
      </c>
      <c r="J84" s="24">
        <f t="shared" ref="J84:J95" si="28">K84/F84</f>
        <v>78.404130611141156</v>
      </c>
      <c r="K84" s="21">
        <v>5218892.55</v>
      </c>
      <c r="L84" s="21">
        <v>5695517.9800000004</v>
      </c>
      <c r="M84" s="25">
        <f t="shared" ref="M84:M95" si="29">(+K84-L84)/L84</f>
        <v>-8.3684299070547502E-2</v>
      </c>
      <c r="N84" s="10"/>
      <c r="R84" s="2"/>
    </row>
    <row r="85" spans="1:18" ht="15.75" x14ac:dyDescent="0.25">
      <c r="A85" s="274"/>
      <c r="B85" s="20">
        <f>DATE(2018,8,1)</f>
        <v>43313</v>
      </c>
      <c r="C85" s="21">
        <v>120860</v>
      </c>
      <c r="D85" s="21">
        <v>137297</v>
      </c>
      <c r="E85" s="23">
        <f t="shared" si="25"/>
        <v>-0.11971856631973021</v>
      </c>
      <c r="F85" s="21">
        <f>+C85-58336</f>
        <v>62524</v>
      </c>
      <c r="G85" s="21">
        <f>+D85-65122</f>
        <v>72175</v>
      </c>
      <c r="H85" s="23">
        <f t="shared" si="26"/>
        <v>-0.13371666089366124</v>
      </c>
      <c r="I85" s="24">
        <f t="shared" si="27"/>
        <v>43.548342462353133</v>
      </c>
      <c r="J85" s="24">
        <f t="shared" si="28"/>
        <v>84.179717708399977</v>
      </c>
      <c r="K85" s="21">
        <v>5263252.67</v>
      </c>
      <c r="L85" s="21">
        <v>5143794.97</v>
      </c>
      <c r="M85" s="25">
        <f t="shared" si="29"/>
        <v>2.3223651155753627E-2</v>
      </c>
      <c r="N85" s="10"/>
      <c r="R85" s="2"/>
    </row>
    <row r="86" spans="1:18" ht="15.75" x14ac:dyDescent="0.25">
      <c r="A86" s="274"/>
      <c r="B86" s="20">
        <f>DATE(2018,9,1)</f>
        <v>43344</v>
      </c>
      <c r="C86" s="21">
        <v>129571</v>
      </c>
      <c r="D86" s="21">
        <v>149373</v>
      </c>
      <c r="E86" s="23">
        <f t="shared" si="25"/>
        <v>-0.13256746533844804</v>
      </c>
      <c r="F86" s="21">
        <f>+C86-62477</f>
        <v>67094</v>
      </c>
      <c r="G86" s="21">
        <f>+D86-70315</f>
        <v>79058</v>
      </c>
      <c r="H86" s="23">
        <f t="shared" si="26"/>
        <v>-0.15133193351716462</v>
      </c>
      <c r="I86" s="24">
        <f t="shared" si="27"/>
        <v>39.031131348835771</v>
      </c>
      <c r="J86" s="24">
        <f t="shared" si="28"/>
        <v>75.376378215637757</v>
      </c>
      <c r="K86" s="21">
        <v>5057302.72</v>
      </c>
      <c r="L86" s="21">
        <v>5888747.75</v>
      </c>
      <c r="M86" s="25">
        <f t="shared" si="29"/>
        <v>-0.14119216262914305</v>
      </c>
      <c r="N86" s="10"/>
      <c r="R86" s="2"/>
    </row>
    <row r="87" spans="1:18" ht="15.75" x14ac:dyDescent="0.25">
      <c r="A87" s="274"/>
      <c r="B87" s="20">
        <f>DATE(2018,10,1)</f>
        <v>43374</v>
      </c>
      <c r="C87" s="21">
        <v>116235</v>
      </c>
      <c r="D87" s="21">
        <v>144440</v>
      </c>
      <c r="E87" s="23">
        <f t="shared" si="25"/>
        <v>-0.1952713929659374</v>
      </c>
      <c r="F87" s="21">
        <f>+C87-55536</f>
        <v>60699</v>
      </c>
      <c r="G87" s="21">
        <f>+D87-68619</f>
        <v>75821</v>
      </c>
      <c r="H87" s="23">
        <f t="shared" si="26"/>
        <v>-0.19944342596378312</v>
      </c>
      <c r="I87" s="24">
        <f t="shared" si="27"/>
        <v>42.496575386071328</v>
      </c>
      <c r="J87" s="24">
        <f t="shared" si="28"/>
        <v>81.378431934628253</v>
      </c>
      <c r="K87" s="21">
        <v>4939589.4400000004</v>
      </c>
      <c r="L87" s="21">
        <v>5166610</v>
      </c>
      <c r="M87" s="25">
        <f t="shared" si="29"/>
        <v>-4.393994514778541E-2</v>
      </c>
      <c r="N87" s="10"/>
      <c r="R87" s="2"/>
    </row>
    <row r="88" spans="1:18" ht="15.75" x14ac:dyDescent="0.25">
      <c r="A88" s="274"/>
      <c r="B88" s="20">
        <f>DATE(2018,11,1)</f>
        <v>43405</v>
      </c>
      <c r="C88" s="21">
        <v>117294</v>
      </c>
      <c r="D88" s="21">
        <v>136794</v>
      </c>
      <c r="E88" s="23">
        <f t="shared" si="25"/>
        <v>-0.14255011184701083</v>
      </c>
      <c r="F88" s="21">
        <f>+C88-56187</f>
        <v>61107</v>
      </c>
      <c r="G88" s="21">
        <f>+D88-66771</f>
        <v>70023</v>
      </c>
      <c r="H88" s="23">
        <f t="shared" si="26"/>
        <v>-0.12732959170558245</v>
      </c>
      <c r="I88" s="24">
        <f t="shared" si="27"/>
        <v>41.788361467764766</v>
      </c>
      <c r="J88" s="24">
        <f t="shared" si="28"/>
        <v>80.212153599423971</v>
      </c>
      <c r="K88" s="21">
        <v>4901524.07</v>
      </c>
      <c r="L88" s="21">
        <v>5061067.71</v>
      </c>
      <c r="M88" s="25">
        <f t="shared" si="29"/>
        <v>-3.1523711821670068E-2</v>
      </c>
      <c r="N88" s="10"/>
      <c r="R88" s="2"/>
    </row>
    <row r="89" spans="1:18" ht="15.75" x14ac:dyDescent="0.25">
      <c r="A89" s="274"/>
      <c r="B89" s="20">
        <f>DATE(2018,12,1)</f>
        <v>43435</v>
      </c>
      <c r="C89" s="21">
        <v>141406</v>
      </c>
      <c r="D89" s="21">
        <v>153482</v>
      </c>
      <c r="E89" s="23">
        <f t="shared" si="25"/>
        <v>-7.8680236118893424E-2</v>
      </c>
      <c r="F89" s="21">
        <f>+C89-68500</f>
        <v>72906</v>
      </c>
      <c r="G89" s="21">
        <f>+D89-73779</f>
        <v>79703</v>
      </c>
      <c r="H89" s="23">
        <f t="shared" si="26"/>
        <v>-8.527909865375205E-2</v>
      </c>
      <c r="I89" s="24">
        <f t="shared" si="27"/>
        <v>38.961130998684638</v>
      </c>
      <c r="J89" s="24">
        <f t="shared" si="28"/>
        <v>75.567685650015093</v>
      </c>
      <c r="K89" s="21">
        <v>5509337.6900000004</v>
      </c>
      <c r="L89" s="21">
        <v>5630075.2199999997</v>
      </c>
      <c r="M89" s="25">
        <f t="shared" si="29"/>
        <v>-2.1445100692633258E-2</v>
      </c>
      <c r="N89" s="10"/>
      <c r="R89" s="2"/>
    </row>
    <row r="90" spans="1:18" ht="15.75" x14ac:dyDescent="0.25">
      <c r="A90" s="274"/>
      <c r="B90" s="20">
        <f>DATE(2019,1,1)</f>
        <v>43466</v>
      </c>
      <c r="C90" s="21">
        <v>109334</v>
      </c>
      <c r="D90" s="21">
        <v>133357</v>
      </c>
      <c r="E90" s="23">
        <f t="shared" si="25"/>
        <v>-0.18014052505680242</v>
      </c>
      <c r="F90" s="21">
        <f>+C90-54908</f>
        <v>54426</v>
      </c>
      <c r="G90" s="21">
        <f>+D90-65017</f>
        <v>68340</v>
      </c>
      <c r="H90" s="23">
        <f t="shared" si="26"/>
        <v>-0.20359964881474979</v>
      </c>
      <c r="I90" s="24">
        <f t="shared" si="27"/>
        <v>43.65992170779446</v>
      </c>
      <c r="J90" s="24">
        <f t="shared" si="28"/>
        <v>87.706498364752136</v>
      </c>
      <c r="K90" s="21">
        <v>4773513.88</v>
      </c>
      <c r="L90" s="21">
        <v>4560342.97</v>
      </c>
      <c r="M90" s="25">
        <f t="shared" si="29"/>
        <v>4.6744490798682224E-2</v>
      </c>
      <c r="N90" s="10"/>
      <c r="R90" s="2"/>
    </row>
    <row r="91" spans="1:18" ht="15.75" x14ac:dyDescent="0.25">
      <c r="A91" s="274"/>
      <c r="B91" s="20">
        <f>DATE(2019,2,1)</f>
        <v>43497</v>
      </c>
      <c r="C91" s="21">
        <v>121868</v>
      </c>
      <c r="D91" s="21">
        <v>147114</v>
      </c>
      <c r="E91" s="23">
        <f t="shared" si="25"/>
        <v>-0.17160841252362113</v>
      </c>
      <c r="F91" s="21">
        <f>+C91-59002</f>
        <v>62866</v>
      </c>
      <c r="G91" s="21">
        <f>+D91-72403</f>
        <v>74711</v>
      </c>
      <c r="H91" s="23">
        <f t="shared" si="26"/>
        <v>-0.15854425720442772</v>
      </c>
      <c r="I91" s="24">
        <f t="shared" si="27"/>
        <v>41.755632815833522</v>
      </c>
      <c r="J91" s="24">
        <f t="shared" si="28"/>
        <v>80.944794642573086</v>
      </c>
      <c r="K91" s="21">
        <v>5088675.46</v>
      </c>
      <c r="L91" s="21">
        <v>5360198.1900000004</v>
      </c>
      <c r="M91" s="25">
        <f t="shared" si="29"/>
        <v>-5.0655352726799163E-2</v>
      </c>
      <c r="N91" s="10"/>
      <c r="R91" s="2"/>
    </row>
    <row r="92" spans="1:18" ht="15.75" x14ac:dyDescent="0.25">
      <c r="A92" s="274"/>
      <c r="B92" s="20">
        <f>DATE(2019,3,1)</f>
        <v>43525</v>
      </c>
      <c r="C92" s="21">
        <v>142359</v>
      </c>
      <c r="D92" s="21">
        <v>167073</v>
      </c>
      <c r="E92" s="23">
        <f t="shared" si="25"/>
        <v>-0.14792336284139268</v>
      </c>
      <c r="F92" s="21">
        <f>+C92-71380</f>
        <v>70979</v>
      </c>
      <c r="G92" s="21">
        <f>+D92-81355</f>
        <v>85718</v>
      </c>
      <c r="H92" s="23">
        <f t="shared" si="26"/>
        <v>-0.17194754893954595</v>
      </c>
      <c r="I92" s="24">
        <f t="shared" si="27"/>
        <v>43.422711033373368</v>
      </c>
      <c r="J92" s="24">
        <f t="shared" si="28"/>
        <v>87.090741205145179</v>
      </c>
      <c r="K92" s="21">
        <v>6181613.7199999997</v>
      </c>
      <c r="L92" s="21">
        <v>6584654.3099999996</v>
      </c>
      <c r="M92" s="25">
        <f t="shared" si="29"/>
        <v>-6.1209073555753585E-2</v>
      </c>
      <c r="N92" s="10"/>
      <c r="R92" s="2"/>
    </row>
    <row r="93" spans="1:18" ht="15.75" x14ac:dyDescent="0.25">
      <c r="A93" s="274"/>
      <c r="B93" s="20">
        <f>DATE(2019,4,1)</f>
        <v>43556</v>
      </c>
      <c r="C93" s="21">
        <v>114814</v>
      </c>
      <c r="D93" s="21">
        <v>137732</v>
      </c>
      <c r="E93" s="23">
        <f t="shared" si="25"/>
        <v>-0.16639560886359017</v>
      </c>
      <c r="F93" s="21">
        <f>+C93-55666</f>
        <v>59148</v>
      </c>
      <c r="G93" s="21">
        <f>+D93-67146</f>
        <v>70586</v>
      </c>
      <c r="H93" s="23">
        <f t="shared" si="26"/>
        <v>-0.16204346470971581</v>
      </c>
      <c r="I93" s="24">
        <f t="shared" si="27"/>
        <v>44.909248697893986</v>
      </c>
      <c r="J93" s="24">
        <f t="shared" si="28"/>
        <v>87.174722391289649</v>
      </c>
      <c r="K93" s="21">
        <v>5156210.4800000004</v>
      </c>
      <c r="L93" s="21">
        <v>5327835.91</v>
      </c>
      <c r="M93" s="25">
        <f t="shared" si="29"/>
        <v>-3.2212972189678363E-2</v>
      </c>
      <c r="N93" s="10"/>
      <c r="R93" s="2"/>
    </row>
    <row r="94" spans="1:18" ht="15.75" x14ac:dyDescent="0.25">
      <c r="A94" s="274"/>
      <c r="B94" s="20">
        <f>DATE(2019,5,1)</f>
        <v>43586</v>
      </c>
      <c r="C94" s="21">
        <v>119002</v>
      </c>
      <c r="D94" s="21">
        <v>130775</v>
      </c>
      <c r="E94" s="23">
        <f t="shared" si="25"/>
        <v>-9.0024851844771547E-2</v>
      </c>
      <c r="F94" s="21">
        <f>+C94-58143</f>
        <v>60859</v>
      </c>
      <c r="G94" s="21">
        <f>+D94-62861</f>
        <v>67914</v>
      </c>
      <c r="H94" s="23">
        <f t="shared" si="26"/>
        <v>-0.10388137939158347</v>
      </c>
      <c r="I94" s="24">
        <f t="shared" si="27"/>
        <v>43.666655434362447</v>
      </c>
      <c r="J94" s="24">
        <f t="shared" si="28"/>
        <v>85.384566456892159</v>
      </c>
      <c r="K94" s="21">
        <v>5196419.33</v>
      </c>
      <c r="L94" s="21">
        <v>5235065.4400000004</v>
      </c>
      <c r="M94" s="25">
        <f t="shared" si="29"/>
        <v>-7.382163688865049E-3</v>
      </c>
      <c r="N94" s="10"/>
      <c r="R94" s="2"/>
    </row>
    <row r="95" spans="1:18" ht="15.75" x14ac:dyDescent="0.25">
      <c r="A95" s="274"/>
      <c r="B95" s="20">
        <f>DATE(2019,6,1)</f>
        <v>43617</v>
      </c>
      <c r="C95" s="21">
        <v>106947</v>
      </c>
      <c r="D95" s="21">
        <v>131234</v>
      </c>
      <c r="E95" s="23">
        <f t="shared" si="25"/>
        <v>-0.1850663699955804</v>
      </c>
      <c r="F95" s="21">
        <f>+C95-52200</f>
        <v>54747</v>
      </c>
      <c r="G95" s="21">
        <f>+D95-62853</f>
        <v>68381</v>
      </c>
      <c r="H95" s="23">
        <f t="shared" si="26"/>
        <v>-0.19938286951053655</v>
      </c>
      <c r="I95" s="24">
        <f t="shared" si="27"/>
        <v>42.631994071829972</v>
      </c>
      <c r="J95" s="24">
        <f t="shared" si="28"/>
        <v>83.280615741501819</v>
      </c>
      <c r="K95" s="21">
        <v>4559363.87</v>
      </c>
      <c r="L95" s="21">
        <v>5386530.8300000001</v>
      </c>
      <c r="M95" s="25">
        <f t="shared" si="29"/>
        <v>-0.15356209517879987</v>
      </c>
      <c r="N95" s="10"/>
      <c r="R95" s="2"/>
    </row>
    <row r="96" spans="1:18" ht="15.75" customHeight="1" thickBot="1" x14ac:dyDescent="0.3">
      <c r="A96" s="19"/>
      <c r="B96" s="20"/>
      <c r="C96" s="21"/>
      <c r="D96" s="21"/>
      <c r="E96" s="23"/>
      <c r="F96" s="21"/>
      <c r="G96" s="21"/>
      <c r="H96" s="23"/>
      <c r="I96" s="24"/>
      <c r="J96" s="24"/>
      <c r="K96" s="21"/>
      <c r="L96" s="21"/>
      <c r="M96" s="25"/>
      <c r="N96" s="10"/>
      <c r="R96" s="2"/>
    </row>
    <row r="97" spans="1:18" ht="17.45" customHeight="1" thickTop="1" thickBot="1" x14ac:dyDescent="0.3">
      <c r="A97" s="39" t="s">
        <v>14</v>
      </c>
      <c r="B97" s="52"/>
      <c r="C97" s="47">
        <f>SUM(C84:C96)</f>
        <v>1468850</v>
      </c>
      <c r="D97" s="48">
        <f>SUM(D84:D96)</f>
        <v>1724351</v>
      </c>
      <c r="E97" s="281">
        <f>(+C97-D97)/D97</f>
        <v>-0.14817226887101292</v>
      </c>
      <c r="F97" s="48">
        <f>SUM(F84:F96)</f>
        <v>753919</v>
      </c>
      <c r="G97" s="47">
        <f>SUM(G84:G96)</f>
        <v>892035</v>
      </c>
      <c r="H97" s="46">
        <f>(+F97-G97)/G97</f>
        <v>-0.15483248975656785</v>
      </c>
      <c r="I97" s="51">
        <f>K97/C97</f>
        <v>42.104841120604554</v>
      </c>
      <c r="J97" s="50">
        <f>K97/F97</f>
        <v>82.032281823378909</v>
      </c>
      <c r="K97" s="47">
        <f>SUM(K84:K96)</f>
        <v>61845695.880000003</v>
      </c>
      <c r="L97" s="48">
        <f>SUM(L84:L96)</f>
        <v>65040441.280000001</v>
      </c>
      <c r="M97" s="44">
        <f>(+K97-L97)/L97</f>
        <v>-4.9119368459487771E-2</v>
      </c>
      <c r="N97" s="10"/>
      <c r="R97" s="2"/>
    </row>
    <row r="98" spans="1:18" ht="15.75" customHeight="1" thickTop="1" x14ac:dyDescent="0.25">
      <c r="A98" s="19"/>
      <c r="B98" s="45"/>
      <c r="C98" s="21"/>
      <c r="D98" s="21"/>
      <c r="E98" s="23"/>
      <c r="F98" s="21"/>
      <c r="G98" s="21"/>
      <c r="H98" s="23"/>
      <c r="I98" s="24"/>
      <c r="J98" s="24"/>
      <c r="K98" s="21"/>
      <c r="L98" s="21"/>
      <c r="M98" s="25"/>
      <c r="N98" s="10"/>
      <c r="R98" s="2"/>
    </row>
    <row r="99" spans="1:18" ht="15.75" x14ac:dyDescent="0.25">
      <c r="A99" s="19" t="s">
        <v>17</v>
      </c>
      <c r="B99" s="20">
        <f>DATE(2018,7,1)</f>
        <v>43282</v>
      </c>
      <c r="C99" s="21">
        <v>164240</v>
      </c>
      <c r="D99" s="21">
        <v>176619</v>
      </c>
      <c r="E99" s="23">
        <f t="shared" ref="E99:E110" si="30">(+C99-D99)/D99</f>
        <v>-7.0088722051421415E-2</v>
      </c>
      <c r="F99" s="21">
        <f>+C99-78084</f>
        <v>86156</v>
      </c>
      <c r="G99" s="21">
        <f>+D99-82680</f>
        <v>93939</v>
      </c>
      <c r="H99" s="23">
        <f t="shared" ref="H99:H110" si="31">(+F99-G99)/G99</f>
        <v>-8.2851637764932567E-2</v>
      </c>
      <c r="I99" s="24">
        <f t="shared" ref="I99:I110" si="32">K99/C99</f>
        <v>35.170054858743299</v>
      </c>
      <c r="J99" s="24">
        <f t="shared" ref="J99:J110" si="33">K99/F99</f>
        <v>67.045009169413618</v>
      </c>
      <c r="K99" s="21">
        <v>5776329.8099999996</v>
      </c>
      <c r="L99" s="21">
        <v>6184772.9199999999</v>
      </c>
      <c r="M99" s="25">
        <f t="shared" ref="M99:M110" si="34">(+K99-L99)/L99</f>
        <v>-6.6040114210046102E-2</v>
      </c>
      <c r="N99" s="10"/>
      <c r="R99" s="2"/>
    </row>
    <row r="100" spans="1:18" ht="15.75" x14ac:dyDescent="0.25">
      <c r="A100" s="19"/>
      <c r="B100" s="20">
        <f>DATE(2018,8,1)</f>
        <v>43313</v>
      </c>
      <c r="C100" s="21">
        <v>161125</v>
      </c>
      <c r="D100" s="21">
        <v>166602</v>
      </c>
      <c r="E100" s="23">
        <f t="shared" si="30"/>
        <v>-3.2874755405097177E-2</v>
      </c>
      <c r="F100" s="21">
        <f>+C100-76425</f>
        <v>84700</v>
      </c>
      <c r="G100" s="21">
        <f>+D100-77233</f>
        <v>89369</v>
      </c>
      <c r="H100" s="23">
        <f t="shared" si="31"/>
        <v>-5.224406673455001E-2</v>
      </c>
      <c r="I100" s="24">
        <f t="shared" si="32"/>
        <v>34.524392986811485</v>
      </c>
      <c r="J100" s="24">
        <f t="shared" si="33"/>
        <v>65.675830224321132</v>
      </c>
      <c r="K100" s="21">
        <v>5562742.8200000003</v>
      </c>
      <c r="L100" s="21">
        <v>5912368.3300000001</v>
      </c>
      <c r="M100" s="25">
        <f t="shared" si="34"/>
        <v>-5.9134595560625329E-2</v>
      </c>
      <c r="N100" s="10"/>
      <c r="R100" s="2"/>
    </row>
    <row r="101" spans="1:18" ht="15.75" x14ac:dyDescent="0.25">
      <c r="A101" s="19"/>
      <c r="B101" s="20">
        <f>DATE(2018,9,1)</f>
        <v>43344</v>
      </c>
      <c r="C101" s="21">
        <v>154193</v>
      </c>
      <c r="D101" s="21">
        <v>169194</v>
      </c>
      <c r="E101" s="23">
        <f t="shared" si="30"/>
        <v>-8.8661536461103821E-2</v>
      </c>
      <c r="F101" s="21">
        <f>+C101-72768</f>
        <v>81425</v>
      </c>
      <c r="G101" s="21">
        <f>+D101-79368</f>
        <v>89826</v>
      </c>
      <c r="H101" s="23">
        <f t="shared" si="31"/>
        <v>-9.3525259947008665E-2</v>
      </c>
      <c r="I101" s="24">
        <f t="shared" si="32"/>
        <v>34.861351034093637</v>
      </c>
      <c r="J101" s="24">
        <f t="shared" si="33"/>
        <v>66.016288609149527</v>
      </c>
      <c r="K101" s="21">
        <v>5375376.2999999998</v>
      </c>
      <c r="L101" s="21">
        <v>5903665.7400000002</v>
      </c>
      <c r="M101" s="25">
        <f t="shared" si="34"/>
        <v>-8.9484984968000642E-2</v>
      </c>
      <c r="N101" s="10"/>
      <c r="R101" s="2"/>
    </row>
    <row r="102" spans="1:18" ht="15.75" x14ac:dyDescent="0.25">
      <c r="A102" s="19"/>
      <c r="B102" s="20">
        <f>DATE(2018,10,1)</f>
        <v>43374</v>
      </c>
      <c r="C102" s="21">
        <v>153175</v>
      </c>
      <c r="D102" s="21">
        <v>167767</v>
      </c>
      <c r="E102" s="23">
        <f t="shared" si="30"/>
        <v>-8.6977772744341861E-2</v>
      </c>
      <c r="F102" s="21">
        <f>+C102-73639</f>
        <v>79536</v>
      </c>
      <c r="G102" s="21">
        <f>+D102-77884</f>
        <v>89883</v>
      </c>
      <c r="H102" s="23">
        <f t="shared" si="31"/>
        <v>-0.11511631787991056</v>
      </c>
      <c r="I102" s="24">
        <f t="shared" si="32"/>
        <v>34.315905337032802</v>
      </c>
      <c r="J102" s="24">
        <f t="shared" si="33"/>
        <v>66.087542747938045</v>
      </c>
      <c r="K102" s="21">
        <v>5256338.8</v>
      </c>
      <c r="L102" s="21">
        <v>5780372.5599999996</v>
      </c>
      <c r="M102" s="25">
        <f t="shared" si="34"/>
        <v>-9.0657436793312826E-2</v>
      </c>
      <c r="N102" s="10"/>
      <c r="R102" s="2"/>
    </row>
    <row r="103" spans="1:18" ht="15.75" x14ac:dyDescent="0.25">
      <c r="A103" s="19"/>
      <c r="B103" s="20">
        <f>DATE(2018,11,1)</f>
        <v>43405</v>
      </c>
      <c r="C103" s="21">
        <v>139109</v>
      </c>
      <c r="D103" s="21">
        <v>158513</v>
      </c>
      <c r="E103" s="23">
        <f t="shared" si="30"/>
        <v>-0.12241267277762707</v>
      </c>
      <c r="F103" s="21">
        <f>+C103-66707</f>
        <v>72402</v>
      </c>
      <c r="G103" s="21">
        <f>+D103-75019</f>
        <v>83494</v>
      </c>
      <c r="H103" s="23">
        <f t="shared" si="31"/>
        <v>-0.13284786930797424</v>
      </c>
      <c r="I103" s="24">
        <f t="shared" si="32"/>
        <v>36.458471270730151</v>
      </c>
      <c r="J103" s="24">
        <f t="shared" si="33"/>
        <v>70.049190353857639</v>
      </c>
      <c r="K103" s="21">
        <v>5071701.4800000004</v>
      </c>
      <c r="L103" s="21">
        <v>5726979.4000000004</v>
      </c>
      <c r="M103" s="25">
        <f t="shared" si="34"/>
        <v>-0.11441946517216386</v>
      </c>
      <c r="N103" s="10"/>
      <c r="R103" s="2"/>
    </row>
    <row r="104" spans="1:18" ht="15.75" x14ac:dyDescent="0.25">
      <c r="A104" s="19"/>
      <c r="B104" s="20">
        <f>DATE(2018,12,1)</f>
        <v>43435</v>
      </c>
      <c r="C104" s="21">
        <v>159746</v>
      </c>
      <c r="D104" s="21">
        <v>166668</v>
      </c>
      <c r="E104" s="23">
        <f t="shared" si="30"/>
        <v>-4.1531667746658028E-2</v>
      </c>
      <c r="F104" s="21">
        <f>+C104-79467</f>
        <v>80279</v>
      </c>
      <c r="G104" s="21">
        <f>+D104-80383</f>
        <v>86285</v>
      </c>
      <c r="H104" s="23">
        <f t="shared" si="31"/>
        <v>-6.9606536477950981E-2</v>
      </c>
      <c r="I104" s="24">
        <f t="shared" si="32"/>
        <v>34.945808470947632</v>
      </c>
      <c r="J104" s="24">
        <f t="shared" si="33"/>
        <v>69.538149702911099</v>
      </c>
      <c r="K104" s="21">
        <v>5582453.1200000001</v>
      </c>
      <c r="L104" s="21">
        <v>5903265.1799999997</v>
      </c>
      <c r="M104" s="25">
        <f t="shared" si="34"/>
        <v>-5.4344849878487013E-2</v>
      </c>
      <c r="N104" s="10"/>
      <c r="R104" s="2"/>
    </row>
    <row r="105" spans="1:18" ht="15.75" x14ac:dyDescent="0.25">
      <c r="A105" s="19"/>
      <c r="B105" s="20">
        <f>DATE(2019,1,1)</f>
        <v>43466</v>
      </c>
      <c r="C105" s="21">
        <v>139301</v>
      </c>
      <c r="D105" s="21">
        <v>147576</v>
      </c>
      <c r="E105" s="23">
        <f t="shared" si="30"/>
        <v>-5.6072803165826419E-2</v>
      </c>
      <c r="F105" s="21">
        <f>+C105-68038</f>
        <v>71263</v>
      </c>
      <c r="G105" s="21">
        <f>+D105-71568</f>
        <v>76008</v>
      </c>
      <c r="H105" s="23">
        <f t="shared" si="31"/>
        <v>-6.2427639195874116E-2</v>
      </c>
      <c r="I105" s="24">
        <f t="shared" si="32"/>
        <v>34.353276789111348</v>
      </c>
      <c r="J105" s="24">
        <f t="shared" si="33"/>
        <v>67.151899442908658</v>
      </c>
      <c r="K105" s="21">
        <v>4785445.8099999996</v>
      </c>
      <c r="L105" s="21">
        <v>5289226.37</v>
      </c>
      <c r="M105" s="25">
        <f t="shared" si="34"/>
        <v>-9.5246549260473518E-2</v>
      </c>
      <c r="N105" s="10"/>
      <c r="R105" s="2"/>
    </row>
    <row r="106" spans="1:18" ht="15.75" x14ac:dyDescent="0.25">
      <c r="A106" s="19"/>
      <c r="B106" s="20">
        <f>DATE(2019,2,1)</f>
        <v>43497</v>
      </c>
      <c r="C106" s="21">
        <v>141977</v>
      </c>
      <c r="D106" s="21">
        <v>152976</v>
      </c>
      <c r="E106" s="23">
        <f t="shared" si="30"/>
        <v>-7.1900167346511876E-2</v>
      </c>
      <c r="F106" s="21">
        <f>+C106-71543</f>
        <v>70434</v>
      </c>
      <c r="G106" s="21">
        <f>+D106-75431</f>
        <v>77545</v>
      </c>
      <c r="H106" s="23">
        <f t="shared" si="31"/>
        <v>-9.170159262363789E-2</v>
      </c>
      <c r="I106" s="24">
        <f t="shared" si="32"/>
        <v>36.618598575825658</v>
      </c>
      <c r="J106" s="24">
        <f t="shared" si="33"/>
        <v>73.813765652951687</v>
      </c>
      <c r="K106" s="21">
        <v>5198998.7699999996</v>
      </c>
      <c r="L106" s="21">
        <v>5480060.0499999998</v>
      </c>
      <c r="M106" s="25">
        <f t="shared" si="34"/>
        <v>-5.1287992729203813E-2</v>
      </c>
      <c r="N106" s="10"/>
      <c r="R106" s="2"/>
    </row>
    <row r="107" spans="1:18" ht="15.75" x14ac:dyDescent="0.25">
      <c r="A107" s="19"/>
      <c r="B107" s="20">
        <f>DATE(2019,3,1)</f>
        <v>43525</v>
      </c>
      <c r="C107" s="21">
        <v>174861</v>
      </c>
      <c r="D107" s="21">
        <v>186939</v>
      </c>
      <c r="E107" s="23">
        <f t="shared" si="30"/>
        <v>-6.4609311058687599E-2</v>
      </c>
      <c r="F107" s="21">
        <f>+C107-87444</f>
        <v>87417</v>
      </c>
      <c r="G107" s="21">
        <f>+D107-91616</f>
        <v>95323</v>
      </c>
      <c r="H107" s="23">
        <f t="shared" si="31"/>
        <v>-8.2939059828163186E-2</v>
      </c>
      <c r="I107" s="24">
        <f t="shared" si="32"/>
        <v>37.634308679465398</v>
      </c>
      <c r="J107" s="24">
        <f t="shared" si="33"/>
        <v>75.280241257421324</v>
      </c>
      <c r="K107" s="21">
        <v>6580772.8499999996</v>
      </c>
      <c r="L107" s="21">
        <v>6811826.5599999996</v>
      </c>
      <c r="M107" s="25">
        <f t="shared" si="34"/>
        <v>-3.3919493980774519E-2</v>
      </c>
      <c r="N107" s="10"/>
      <c r="R107" s="2"/>
    </row>
    <row r="108" spans="1:18" ht="15.75" x14ac:dyDescent="0.25">
      <c r="A108" s="19"/>
      <c r="B108" s="20">
        <f>DATE(2019,4,1)</f>
        <v>43556</v>
      </c>
      <c r="C108" s="21">
        <v>151446</v>
      </c>
      <c r="D108" s="21">
        <v>157952</v>
      </c>
      <c r="E108" s="23">
        <f t="shared" si="30"/>
        <v>-4.1189728525121559E-2</v>
      </c>
      <c r="F108" s="21">
        <f>+C108-72754</f>
        <v>78692</v>
      </c>
      <c r="G108" s="21">
        <f>+D108-75399</f>
        <v>82553</v>
      </c>
      <c r="H108" s="23">
        <f t="shared" si="31"/>
        <v>-4.6769953847831093E-2</v>
      </c>
      <c r="I108" s="24">
        <f t="shared" si="32"/>
        <v>37.611289832679638</v>
      </c>
      <c r="J108" s="24">
        <f t="shared" si="33"/>
        <v>72.38447872718956</v>
      </c>
      <c r="K108" s="21">
        <v>5696079.4000000004</v>
      </c>
      <c r="L108" s="21">
        <v>5869549.2000000002</v>
      </c>
      <c r="M108" s="25">
        <f t="shared" si="34"/>
        <v>-2.9554194724187643E-2</v>
      </c>
      <c r="N108" s="10"/>
      <c r="R108" s="2"/>
    </row>
    <row r="109" spans="1:18" ht="15.75" x14ac:dyDescent="0.25">
      <c r="A109" s="19"/>
      <c r="B109" s="20">
        <f>DATE(2019,5,1)</f>
        <v>43586</v>
      </c>
      <c r="C109" s="21">
        <v>161474</v>
      </c>
      <c r="D109" s="21">
        <v>157817</v>
      </c>
      <c r="E109" s="23">
        <f t="shared" si="30"/>
        <v>2.3172408549142362E-2</v>
      </c>
      <c r="F109" s="21">
        <f>+C109-76948</f>
        <v>84526</v>
      </c>
      <c r="G109" s="21">
        <f>+D109-74068</f>
        <v>83749</v>
      </c>
      <c r="H109" s="23">
        <f t="shared" si="31"/>
        <v>9.2777227190772426E-3</v>
      </c>
      <c r="I109" s="24">
        <f t="shared" si="32"/>
        <v>37.625518845139155</v>
      </c>
      <c r="J109" s="24">
        <f t="shared" si="33"/>
        <v>71.877801268248831</v>
      </c>
      <c r="K109" s="21">
        <v>6075543.0300000003</v>
      </c>
      <c r="L109" s="21">
        <v>5495687.9100000001</v>
      </c>
      <c r="M109" s="25">
        <f t="shared" si="34"/>
        <v>0.10551092592883428</v>
      </c>
      <c r="N109" s="10"/>
      <c r="R109" s="2"/>
    </row>
    <row r="110" spans="1:18" ht="15.75" x14ac:dyDescent="0.25">
      <c r="A110" s="19"/>
      <c r="B110" s="20">
        <f>DATE(2019,6,1)</f>
        <v>43617</v>
      </c>
      <c r="C110" s="21">
        <v>151813</v>
      </c>
      <c r="D110" s="21">
        <v>161809</v>
      </c>
      <c r="E110" s="23">
        <f t="shared" si="30"/>
        <v>-6.1776539005864939E-2</v>
      </c>
      <c r="F110" s="21">
        <f>+C110-73319</f>
        <v>78494</v>
      </c>
      <c r="G110" s="21">
        <f>+D110-77133</f>
        <v>84676</v>
      </c>
      <c r="H110" s="23">
        <f t="shared" si="31"/>
        <v>-7.3007699938589452E-2</v>
      </c>
      <c r="I110" s="24">
        <f t="shared" si="32"/>
        <v>36.148221232700756</v>
      </c>
      <c r="J110" s="24">
        <f t="shared" si="33"/>
        <v>69.913240629857057</v>
      </c>
      <c r="K110" s="21">
        <v>5487769.9100000001</v>
      </c>
      <c r="L110" s="21">
        <v>5824552.2400000002</v>
      </c>
      <c r="M110" s="25">
        <f t="shared" si="34"/>
        <v>-5.7821153648027042E-2</v>
      </c>
      <c r="N110" s="10"/>
      <c r="R110" s="2"/>
    </row>
    <row r="111" spans="1:18" ht="15.75" customHeight="1" thickBot="1" x14ac:dyDescent="0.3">
      <c r="A111" s="19"/>
      <c r="B111" s="45"/>
      <c r="C111" s="21"/>
      <c r="D111" s="21"/>
      <c r="E111" s="23"/>
      <c r="F111" s="21"/>
      <c r="G111" s="21"/>
      <c r="H111" s="23"/>
      <c r="I111" s="24"/>
      <c r="J111" s="24"/>
      <c r="K111" s="21"/>
      <c r="L111" s="21"/>
      <c r="M111" s="25"/>
      <c r="N111" s="10"/>
      <c r="R111" s="2"/>
    </row>
    <row r="112" spans="1:18" ht="17.45" customHeight="1" thickTop="1" thickBot="1" x14ac:dyDescent="0.3">
      <c r="A112" s="39" t="s">
        <v>14</v>
      </c>
      <c r="B112" s="52"/>
      <c r="C112" s="47">
        <f>SUM(C99:C111)</f>
        <v>1852460</v>
      </c>
      <c r="D112" s="48">
        <f>SUM(D99:D111)</f>
        <v>1970432</v>
      </c>
      <c r="E112" s="281">
        <f>(+C112-D112)/D112</f>
        <v>-5.9871134857736784E-2</v>
      </c>
      <c r="F112" s="48">
        <f>SUM(F99:F111)</f>
        <v>955324</v>
      </c>
      <c r="G112" s="47">
        <f>SUM(G99:G111)</f>
        <v>1032650</v>
      </c>
      <c r="H112" s="53">
        <f>(+F112-G112)/G112</f>
        <v>-7.4881131070546655E-2</v>
      </c>
      <c r="I112" s="51">
        <f>K112/C112</f>
        <v>35.870978104790382</v>
      </c>
      <c r="J112" s="50">
        <f>K112/F112</f>
        <v>69.557084402778528</v>
      </c>
      <c r="K112" s="47">
        <f>SUM(K99:K111)</f>
        <v>66449552.099999994</v>
      </c>
      <c r="L112" s="48">
        <f>SUM(L99:L111)</f>
        <v>70182326.459999993</v>
      </c>
      <c r="M112" s="44">
        <f>(+K112-L112)/L112</f>
        <v>-5.3186814234883938E-2</v>
      </c>
      <c r="N112" s="10"/>
      <c r="R112" s="2"/>
    </row>
    <row r="113" spans="1:18" ht="15.75" customHeight="1" thickTop="1" x14ac:dyDescent="0.25">
      <c r="A113" s="19"/>
      <c r="B113" s="45"/>
      <c r="C113" s="21"/>
      <c r="D113" s="21"/>
      <c r="E113" s="23"/>
      <c r="F113" s="21"/>
      <c r="G113" s="21"/>
      <c r="H113" s="23"/>
      <c r="I113" s="24"/>
      <c r="J113" s="24"/>
      <c r="K113" s="21"/>
      <c r="L113" s="21"/>
      <c r="M113" s="25"/>
      <c r="N113" s="10"/>
      <c r="R113" s="2"/>
    </row>
    <row r="114" spans="1:18" ht="15.75" customHeight="1" x14ac:dyDescent="0.25">
      <c r="A114" s="19" t="s">
        <v>67</v>
      </c>
      <c r="B114" s="20">
        <f>DATE(2018,7,1)</f>
        <v>43282</v>
      </c>
      <c r="C114" s="21">
        <v>388346</v>
      </c>
      <c r="D114" s="21">
        <v>366754</v>
      </c>
      <c r="E114" s="23">
        <f t="shared" ref="E114:E125" si="35">(+C114-D114)/D114</f>
        <v>5.887325018950032E-2</v>
      </c>
      <c r="F114" s="21">
        <f>+C114-165497</f>
        <v>222849</v>
      </c>
      <c r="G114" s="21">
        <f>+D114-155073</f>
        <v>211681</v>
      </c>
      <c r="H114" s="23">
        <f t="shared" ref="H114:H125" si="36">(+F114-G114)/G114</f>
        <v>5.2758632092629945E-2</v>
      </c>
      <c r="I114" s="24">
        <f t="shared" ref="I114:I125" si="37">K114/C114</f>
        <v>34.573026991394272</v>
      </c>
      <c r="J114" s="24">
        <f t="shared" ref="J114:J125" si="38">K114/F114</f>
        <v>60.24840470453087</v>
      </c>
      <c r="K114" s="21">
        <v>13426296.74</v>
      </c>
      <c r="L114" s="21">
        <v>12532234.060000001</v>
      </c>
      <c r="M114" s="25">
        <f t="shared" ref="M114:M125" si="39">(+K114-L114)/L114</f>
        <v>7.1341045476771101E-2</v>
      </c>
      <c r="N114" s="10"/>
      <c r="R114" s="2"/>
    </row>
    <row r="115" spans="1:18" ht="15.75" customHeight="1" x14ac:dyDescent="0.25">
      <c r="A115" s="19"/>
      <c r="B115" s="20">
        <f>DATE(2018,8,1)</f>
        <v>43313</v>
      </c>
      <c r="C115" s="21">
        <v>374981</v>
      </c>
      <c r="D115" s="21">
        <v>331896</v>
      </c>
      <c r="E115" s="23">
        <f t="shared" si="35"/>
        <v>0.1298147612505122</v>
      </c>
      <c r="F115" s="21">
        <f>+C115-161656</f>
        <v>213325</v>
      </c>
      <c r="G115" s="21">
        <f>+D115-142759</f>
        <v>189137</v>
      </c>
      <c r="H115" s="23">
        <f t="shared" si="36"/>
        <v>0.12788613544679253</v>
      </c>
      <c r="I115" s="24">
        <f t="shared" si="37"/>
        <v>37.352863371744171</v>
      </c>
      <c r="J115" s="24">
        <f t="shared" si="38"/>
        <v>65.658568194070085</v>
      </c>
      <c r="K115" s="21">
        <v>14006614.060000001</v>
      </c>
      <c r="L115" s="21">
        <v>12428268.710000001</v>
      </c>
      <c r="M115" s="25">
        <f t="shared" si="39"/>
        <v>0.1269963972319037</v>
      </c>
      <c r="N115" s="10"/>
      <c r="R115" s="2"/>
    </row>
    <row r="116" spans="1:18" ht="15.75" customHeight="1" x14ac:dyDescent="0.25">
      <c r="A116" s="19"/>
      <c r="B116" s="20">
        <f>DATE(2018,9,1)</f>
        <v>43344</v>
      </c>
      <c r="C116" s="21">
        <v>360336</v>
      </c>
      <c r="D116" s="21">
        <v>334242</v>
      </c>
      <c r="E116" s="23">
        <f t="shared" si="35"/>
        <v>7.806918340603515E-2</v>
      </c>
      <c r="F116" s="21">
        <f>+C116-155587</f>
        <v>204749</v>
      </c>
      <c r="G116" s="21">
        <f>+D116-144631</f>
        <v>189611</v>
      </c>
      <c r="H116" s="23">
        <f t="shared" si="36"/>
        <v>7.9837140250301933E-2</v>
      </c>
      <c r="I116" s="24">
        <f t="shared" si="37"/>
        <v>36.889373501398694</v>
      </c>
      <c r="J116" s="24">
        <f t="shared" si="38"/>
        <v>64.921290409232768</v>
      </c>
      <c r="K116" s="21">
        <v>13292569.289999999</v>
      </c>
      <c r="L116" s="21">
        <v>11826002.08</v>
      </c>
      <c r="M116" s="25">
        <f t="shared" si="39"/>
        <v>0.12401208794646171</v>
      </c>
      <c r="N116" s="10"/>
      <c r="R116" s="2"/>
    </row>
    <row r="117" spans="1:18" ht="15.75" customHeight="1" x14ac:dyDescent="0.25">
      <c r="A117" s="19"/>
      <c r="B117" s="20">
        <f>DATE(2018,10,1)</f>
        <v>43374</v>
      </c>
      <c r="C117" s="21">
        <v>333769</v>
      </c>
      <c r="D117" s="21">
        <v>316771</v>
      </c>
      <c r="E117" s="23">
        <f t="shared" si="35"/>
        <v>5.3660215108074921E-2</v>
      </c>
      <c r="F117" s="21">
        <f>+C117-146853</f>
        <v>186916</v>
      </c>
      <c r="G117" s="21">
        <f>+D117-139949</f>
        <v>176822</v>
      </c>
      <c r="H117" s="23">
        <f t="shared" si="36"/>
        <v>5.7085656762167605E-2</v>
      </c>
      <c r="I117" s="24">
        <f t="shared" si="37"/>
        <v>39.840406568614824</v>
      </c>
      <c r="J117" s="24">
        <f t="shared" si="38"/>
        <v>71.141543046074176</v>
      </c>
      <c r="K117" s="21">
        <v>13297492.66</v>
      </c>
      <c r="L117" s="21">
        <v>11196087.949999999</v>
      </c>
      <c r="M117" s="25">
        <f t="shared" si="39"/>
        <v>0.18769097915133839</v>
      </c>
      <c r="N117" s="10"/>
      <c r="R117" s="2"/>
    </row>
    <row r="118" spans="1:18" ht="15.75" customHeight="1" x14ac:dyDescent="0.25">
      <c r="A118" s="19"/>
      <c r="B118" s="20">
        <f>DATE(2018,11,1)</f>
        <v>43405</v>
      </c>
      <c r="C118" s="21">
        <v>328777</v>
      </c>
      <c r="D118" s="21">
        <v>320184</v>
      </c>
      <c r="E118" s="23">
        <f t="shared" si="35"/>
        <v>2.6837693326337356E-2</v>
      </c>
      <c r="F118" s="21">
        <f>+C118-148021</f>
        <v>180756</v>
      </c>
      <c r="G118" s="21">
        <f>+D118-141719</f>
        <v>178465</v>
      </c>
      <c r="H118" s="23">
        <f t="shared" si="36"/>
        <v>1.2837251001596953E-2</v>
      </c>
      <c r="I118" s="24">
        <f t="shared" si="37"/>
        <v>38.986920435431919</v>
      </c>
      <c r="J118" s="24">
        <f t="shared" si="38"/>
        <v>70.913290513177984</v>
      </c>
      <c r="K118" s="21">
        <v>12818002.74</v>
      </c>
      <c r="L118" s="21">
        <v>12032537.07</v>
      </c>
      <c r="M118" s="25">
        <f t="shared" si="39"/>
        <v>6.5278474974189288E-2</v>
      </c>
      <c r="N118" s="10"/>
      <c r="R118" s="2"/>
    </row>
    <row r="119" spans="1:18" ht="15.75" customHeight="1" x14ac:dyDescent="0.25">
      <c r="A119" s="19"/>
      <c r="B119" s="20">
        <f>DATE(2018,12,1)</f>
        <v>43435</v>
      </c>
      <c r="C119" s="21">
        <v>359368</v>
      </c>
      <c r="D119" s="21">
        <v>365944</v>
      </c>
      <c r="E119" s="23">
        <f t="shared" si="35"/>
        <v>-1.796996261723105E-2</v>
      </c>
      <c r="F119" s="21">
        <f>+C119-161628</f>
        <v>197740</v>
      </c>
      <c r="G119" s="21">
        <f>+D119-164571</f>
        <v>201373</v>
      </c>
      <c r="H119" s="23">
        <f t="shared" si="36"/>
        <v>-1.8041147522259687E-2</v>
      </c>
      <c r="I119" s="24">
        <f t="shared" si="37"/>
        <v>38.839339368001603</v>
      </c>
      <c r="J119" s="24">
        <f t="shared" si="38"/>
        <v>70.585696925255391</v>
      </c>
      <c r="K119" s="21">
        <v>13957615.710000001</v>
      </c>
      <c r="L119" s="21">
        <v>13116522.43</v>
      </c>
      <c r="M119" s="25">
        <f t="shared" si="39"/>
        <v>6.4124716325438494E-2</v>
      </c>
      <c r="N119" s="10"/>
      <c r="R119" s="2"/>
    </row>
    <row r="120" spans="1:18" ht="15.75" customHeight="1" x14ac:dyDescent="0.25">
      <c r="A120" s="19"/>
      <c r="B120" s="20">
        <f>DATE(2019,1,1)</f>
        <v>43466</v>
      </c>
      <c r="C120" s="21">
        <v>297370</v>
      </c>
      <c r="D120" s="21">
        <v>343002</v>
      </c>
      <c r="E120" s="23">
        <f t="shared" si="35"/>
        <v>-0.13303712514795832</v>
      </c>
      <c r="F120" s="21">
        <f>+C120-130935</f>
        <v>166435</v>
      </c>
      <c r="G120" s="21">
        <f>+D120-149849</f>
        <v>193153</v>
      </c>
      <c r="H120" s="23">
        <f t="shared" si="36"/>
        <v>-0.13832557609770493</v>
      </c>
      <c r="I120" s="24">
        <f t="shared" si="37"/>
        <v>42.014581027003402</v>
      </c>
      <c r="J120" s="24">
        <f t="shared" si="38"/>
        <v>75.067599723615828</v>
      </c>
      <c r="K120" s="21">
        <v>12493875.960000001</v>
      </c>
      <c r="L120" s="21">
        <v>12259136</v>
      </c>
      <c r="M120" s="25">
        <f t="shared" si="39"/>
        <v>1.9148165090916758E-2</v>
      </c>
      <c r="N120" s="10"/>
      <c r="R120" s="2"/>
    </row>
    <row r="121" spans="1:18" ht="15.75" customHeight="1" x14ac:dyDescent="0.25">
      <c r="A121" s="19"/>
      <c r="B121" s="20">
        <f>DATE(2019,2,1)</f>
        <v>43497</v>
      </c>
      <c r="C121" s="21">
        <v>298265</v>
      </c>
      <c r="D121" s="21">
        <v>374858</v>
      </c>
      <c r="E121" s="23">
        <f t="shared" si="35"/>
        <v>-0.20432537120723046</v>
      </c>
      <c r="F121" s="21">
        <f>+C121-132712</f>
        <v>165553</v>
      </c>
      <c r="G121" s="21">
        <f>+D121-169639</f>
        <v>205219</v>
      </c>
      <c r="H121" s="23">
        <f t="shared" si="36"/>
        <v>-0.19328619669718691</v>
      </c>
      <c r="I121" s="24">
        <f t="shared" si="37"/>
        <v>41.072056862186308</v>
      </c>
      <c r="J121" s="24">
        <f t="shared" si="38"/>
        <v>73.996587437255741</v>
      </c>
      <c r="K121" s="21">
        <v>12250357.039999999</v>
      </c>
      <c r="L121" s="21">
        <v>13920480.310000001</v>
      </c>
      <c r="M121" s="25">
        <f t="shared" si="39"/>
        <v>-0.11997598019662019</v>
      </c>
      <c r="N121" s="10"/>
      <c r="R121" s="2"/>
    </row>
    <row r="122" spans="1:18" ht="15.75" customHeight="1" x14ac:dyDescent="0.25">
      <c r="A122" s="19"/>
      <c r="B122" s="20">
        <f>DATE(2019,3,1)</f>
        <v>43525</v>
      </c>
      <c r="C122" s="21">
        <v>375438</v>
      </c>
      <c r="D122" s="21">
        <v>445851</v>
      </c>
      <c r="E122" s="23">
        <f t="shared" si="35"/>
        <v>-0.15792944279591165</v>
      </c>
      <c r="F122" s="21">
        <f>+C122-165623</f>
        <v>209815</v>
      </c>
      <c r="G122" s="21">
        <f>+D122-199421</f>
        <v>246430</v>
      </c>
      <c r="H122" s="23">
        <f t="shared" si="36"/>
        <v>-0.14858174735218926</v>
      </c>
      <c r="I122" s="24">
        <f t="shared" si="37"/>
        <v>42.208243385059582</v>
      </c>
      <c r="J122" s="24">
        <f t="shared" si="38"/>
        <v>75.526432714534238</v>
      </c>
      <c r="K122" s="21">
        <v>15846578.48</v>
      </c>
      <c r="L122" s="21">
        <v>16450979.140000001</v>
      </c>
      <c r="M122" s="25">
        <f t="shared" si="39"/>
        <v>-3.6739494643842831E-2</v>
      </c>
      <c r="N122" s="10"/>
      <c r="R122" s="2"/>
    </row>
    <row r="123" spans="1:18" ht="15.75" customHeight="1" x14ac:dyDescent="0.25">
      <c r="A123" s="19"/>
      <c r="B123" s="20">
        <f>DATE(2019,4,1)</f>
        <v>43556</v>
      </c>
      <c r="C123" s="21">
        <v>314622</v>
      </c>
      <c r="D123" s="21">
        <v>387799</v>
      </c>
      <c r="E123" s="23">
        <f t="shared" si="35"/>
        <v>-0.18869826894860481</v>
      </c>
      <c r="F123" s="21">
        <f>+C123-139138</f>
        <v>175484</v>
      </c>
      <c r="G123" s="21">
        <f>+D123-169315</f>
        <v>218484</v>
      </c>
      <c r="H123" s="23">
        <f t="shared" si="36"/>
        <v>-0.19681075044396842</v>
      </c>
      <c r="I123" s="24">
        <f t="shared" si="37"/>
        <v>40.926843768077248</v>
      </c>
      <c r="J123" s="24">
        <f t="shared" si="38"/>
        <v>73.3769770463404</v>
      </c>
      <c r="K123" s="21">
        <v>12876485.439999999</v>
      </c>
      <c r="L123" s="21">
        <v>14598331.57</v>
      </c>
      <c r="M123" s="25">
        <f t="shared" si="39"/>
        <v>-0.11794814508381528</v>
      </c>
      <c r="N123" s="10"/>
      <c r="R123" s="2"/>
    </row>
    <row r="124" spans="1:18" ht="15.75" customHeight="1" x14ac:dyDescent="0.25">
      <c r="A124" s="19"/>
      <c r="B124" s="20">
        <f>DATE(2019,5,1)</f>
        <v>43586</v>
      </c>
      <c r="C124" s="21">
        <v>338168</v>
      </c>
      <c r="D124" s="21">
        <v>394379</v>
      </c>
      <c r="E124" s="23">
        <f t="shared" si="35"/>
        <v>-0.14253040856637905</v>
      </c>
      <c r="F124" s="21">
        <f>+C124-147365</f>
        <v>190803</v>
      </c>
      <c r="G124" s="21">
        <f>+D124-169906</f>
        <v>224473</v>
      </c>
      <c r="H124" s="23">
        <f t="shared" si="36"/>
        <v>-0.14999576786517754</v>
      </c>
      <c r="I124" s="24">
        <f t="shared" si="37"/>
        <v>42.227330853303684</v>
      </c>
      <c r="J124" s="24">
        <f t="shared" si="38"/>
        <v>74.841234257322995</v>
      </c>
      <c r="K124" s="21">
        <v>14279932.02</v>
      </c>
      <c r="L124" s="21">
        <v>14679216.189999999</v>
      </c>
      <c r="M124" s="25">
        <f t="shared" si="39"/>
        <v>-2.7200646467214401E-2</v>
      </c>
      <c r="N124" s="10"/>
      <c r="R124" s="2"/>
    </row>
    <row r="125" spans="1:18" ht="15.75" customHeight="1" x14ac:dyDescent="0.25">
      <c r="A125" s="19"/>
      <c r="B125" s="20">
        <f>DATE(2019,6,1)</f>
        <v>43617</v>
      </c>
      <c r="C125" s="21">
        <v>334749</v>
      </c>
      <c r="D125" s="21">
        <v>398713</v>
      </c>
      <c r="E125" s="23">
        <f t="shared" si="35"/>
        <v>-0.16042617120585484</v>
      </c>
      <c r="F125" s="21">
        <f>+C125-143265</f>
        <v>191484</v>
      </c>
      <c r="G125" s="21">
        <f>+D125-172031</f>
        <v>226682</v>
      </c>
      <c r="H125" s="23">
        <f t="shared" si="36"/>
        <v>-0.15527479023477825</v>
      </c>
      <c r="I125" s="24">
        <f t="shared" si="37"/>
        <v>40.53294157712196</v>
      </c>
      <c r="J125" s="24">
        <f t="shared" si="38"/>
        <v>70.858983831547278</v>
      </c>
      <c r="K125" s="21">
        <v>13568361.66</v>
      </c>
      <c r="L125" s="21">
        <v>14909663.289999999</v>
      </c>
      <c r="M125" s="25">
        <f t="shared" si="39"/>
        <v>-8.9961899468220585E-2</v>
      </c>
      <c r="N125" s="10"/>
      <c r="R125" s="2"/>
    </row>
    <row r="126" spans="1:18" ht="15.75" customHeight="1" thickBot="1" x14ac:dyDescent="0.3">
      <c r="A126" s="19"/>
      <c r="B126" s="45"/>
      <c r="C126" s="21"/>
      <c r="D126" s="21"/>
      <c r="E126" s="23"/>
      <c r="F126" s="21"/>
      <c r="G126" s="21"/>
      <c r="H126" s="23"/>
      <c r="I126" s="24"/>
      <c r="J126" s="24"/>
      <c r="K126" s="21"/>
      <c r="L126" s="21"/>
      <c r="M126" s="25"/>
      <c r="N126" s="10"/>
      <c r="R126" s="2"/>
    </row>
    <row r="127" spans="1:18" ht="17.25" thickTop="1" thickBot="1" x14ac:dyDescent="0.3">
      <c r="A127" s="39" t="s">
        <v>14</v>
      </c>
      <c r="B127" s="40"/>
      <c r="C127" s="41">
        <f>SUM(C114:C126)</f>
        <v>4104189</v>
      </c>
      <c r="D127" s="41">
        <f>SUM(D114:D126)</f>
        <v>4380393</v>
      </c>
      <c r="E127" s="280">
        <f>(+C127-D127)/D127</f>
        <v>-6.3054616332370181E-2</v>
      </c>
      <c r="F127" s="41">
        <f>SUM(F114:F126)</f>
        <v>2305909</v>
      </c>
      <c r="G127" s="41">
        <f>SUM(G114:G126)</f>
        <v>2461530</v>
      </c>
      <c r="H127" s="42">
        <f>(+F127-G127)/G127</f>
        <v>-6.3221248573041969E-2</v>
      </c>
      <c r="I127" s="43">
        <f>K127/C127</f>
        <v>39.499687222006592</v>
      </c>
      <c r="J127" s="43">
        <f>K127/F127</f>
        <v>70.303807218758422</v>
      </c>
      <c r="K127" s="41">
        <f>SUM(K114:K126)</f>
        <v>162114181.80000001</v>
      </c>
      <c r="L127" s="41">
        <f>SUM(L114:L126)</f>
        <v>159949458.79999998</v>
      </c>
      <c r="M127" s="44">
        <f>(+K127-L127)/L127</f>
        <v>1.3533793838632419E-2</v>
      </c>
      <c r="N127" s="10"/>
      <c r="R127" s="2"/>
    </row>
    <row r="128" spans="1:18" ht="15.75" customHeight="1" thickTop="1" x14ac:dyDescent="0.2">
      <c r="A128" s="54"/>
      <c r="B128" s="55"/>
      <c r="C128" s="55"/>
      <c r="D128" s="55"/>
      <c r="E128" s="56"/>
      <c r="F128" s="55"/>
      <c r="G128" s="55"/>
      <c r="H128" s="56"/>
      <c r="I128" s="55"/>
      <c r="J128" s="55"/>
      <c r="K128" s="196"/>
      <c r="L128" s="196"/>
      <c r="M128" s="57"/>
      <c r="N128" s="10"/>
      <c r="R128" s="2"/>
    </row>
    <row r="129" spans="1:18" ht="15.75" customHeight="1" x14ac:dyDescent="0.25">
      <c r="A129" s="19" t="s">
        <v>18</v>
      </c>
      <c r="B129" s="20">
        <f>DATE(2018,7,1)</f>
        <v>43282</v>
      </c>
      <c r="C129" s="21">
        <v>413730</v>
      </c>
      <c r="D129" s="21">
        <v>402324</v>
      </c>
      <c r="E129" s="23">
        <f t="shared" ref="E129:E140" si="40">(+C129-D129)/D129</f>
        <v>2.8350284845050259E-2</v>
      </c>
      <c r="F129" s="21">
        <f>+C129-202461</f>
        <v>211269</v>
      </c>
      <c r="G129" s="21">
        <f>+D129-196212</f>
        <v>206112</v>
      </c>
      <c r="H129" s="23">
        <f t="shared" ref="H129:H140" si="41">(+F129-G129)/G129</f>
        <v>2.5020377270610152E-2</v>
      </c>
      <c r="I129" s="24">
        <f t="shared" ref="I129:I140" si="42">K129/C129</f>
        <v>42.608765885964281</v>
      </c>
      <c r="J129" s="24">
        <f t="shared" ref="J129:J140" si="43">K129/F129</f>
        <v>83.441132915856087</v>
      </c>
      <c r="K129" s="21">
        <v>17628524.710000001</v>
      </c>
      <c r="L129" s="21">
        <v>16341217.17</v>
      </c>
      <c r="M129" s="25">
        <f t="shared" ref="M129:M140" si="44">(+K129-L129)/L129</f>
        <v>7.8776723092775655E-2</v>
      </c>
      <c r="N129" s="10"/>
      <c r="R129" s="2"/>
    </row>
    <row r="130" spans="1:18" ht="15.75" customHeight="1" x14ac:dyDescent="0.25">
      <c r="A130" s="19"/>
      <c r="B130" s="20">
        <f>DATE(2018,8,1)</f>
        <v>43313</v>
      </c>
      <c r="C130" s="21">
        <v>405657</v>
      </c>
      <c r="D130" s="21">
        <v>379939</v>
      </c>
      <c r="E130" s="23">
        <f t="shared" si="40"/>
        <v>6.7689813364776974E-2</v>
      </c>
      <c r="F130" s="21">
        <f>+C130-195459</f>
        <v>210198</v>
      </c>
      <c r="G130" s="21">
        <f>+D130-185707</f>
        <v>194232</v>
      </c>
      <c r="H130" s="23">
        <f t="shared" si="41"/>
        <v>8.220066724329668E-2</v>
      </c>
      <c r="I130" s="24">
        <f t="shared" si="42"/>
        <v>43.878100291625685</v>
      </c>
      <c r="J130" s="24">
        <f t="shared" si="43"/>
        <v>84.679485675410803</v>
      </c>
      <c r="K130" s="21">
        <v>17799458.530000001</v>
      </c>
      <c r="L130" s="21">
        <v>15315276.050000001</v>
      </c>
      <c r="M130" s="25">
        <f t="shared" si="44"/>
        <v>0.16220291896077188</v>
      </c>
      <c r="N130" s="10"/>
      <c r="R130" s="2"/>
    </row>
    <row r="131" spans="1:18" ht="15.75" customHeight="1" x14ac:dyDescent="0.25">
      <c r="A131" s="19"/>
      <c r="B131" s="20">
        <f>DATE(2018,9,1)</f>
        <v>43344</v>
      </c>
      <c r="C131" s="21">
        <v>386512</v>
      </c>
      <c r="D131" s="21">
        <v>383853</v>
      </c>
      <c r="E131" s="23">
        <f t="shared" si="40"/>
        <v>6.9271309589869039E-3</v>
      </c>
      <c r="F131" s="21">
        <f>+C131-188889</f>
        <v>197623</v>
      </c>
      <c r="G131" s="21">
        <f>+D131-186182</f>
        <v>197671</v>
      </c>
      <c r="H131" s="23">
        <f t="shared" si="41"/>
        <v>-2.4282772890307634E-4</v>
      </c>
      <c r="I131" s="24">
        <f t="shared" si="42"/>
        <v>42.94741094713747</v>
      </c>
      <c r="J131" s="24">
        <f t="shared" si="43"/>
        <v>83.996749872231462</v>
      </c>
      <c r="K131" s="21">
        <v>16599689.699999999</v>
      </c>
      <c r="L131" s="21">
        <v>16031264.689999999</v>
      </c>
      <c r="M131" s="25">
        <f t="shared" si="44"/>
        <v>3.5457278074547204E-2</v>
      </c>
      <c r="N131" s="10"/>
      <c r="R131" s="2"/>
    </row>
    <row r="132" spans="1:18" ht="15.75" customHeight="1" x14ac:dyDescent="0.25">
      <c r="A132" s="19"/>
      <c r="B132" s="20">
        <f>DATE(2018,10,1)</f>
        <v>43374</v>
      </c>
      <c r="C132" s="21">
        <v>353857</v>
      </c>
      <c r="D132" s="21">
        <v>372927</v>
      </c>
      <c r="E132" s="23">
        <f t="shared" si="40"/>
        <v>-5.1136013214382436E-2</v>
      </c>
      <c r="F132" s="21">
        <f>+C132-169336</f>
        <v>184521</v>
      </c>
      <c r="G132" s="21">
        <f>+D132-185932</f>
        <v>186995</v>
      </c>
      <c r="H132" s="23">
        <f t="shared" si="41"/>
        <v>-1.3230300275408433E-2</v>
      </c>
      <c r="I132" s="24">
        <f t="shared" si="42"/>
        <v>42.600034901104124</v>
      </c>
      <c r="J132" s="24">
        <f t="shared" si="43"/>
        <v>81.694335875049461</v>
      </c>
      <c r="K132" s="21">
        <v>15074320.550000001</v>
      </c>
      <c r="L132" s="21">
        <v>15264818.060000001</v>
      </c>
      <c r="M132" s="25">
        <f t="shared" si="44"/>
        <v>-1.2479513954979937E-2</v>
      </c>
      <c r="N132" s="10"/>
      <c r="R132" s="2"/>
    </row>
    <row r="133" spans="1:18" ht="15.75" customHeight="1" x14ac:dyDescent="0.25">
      <c r="A133" s="19"/>
      <c r="B133" s="20">
        <f>DATE(2018,11,1)</f>
        <v>43405</v>
      </c>
      <c r="C133" s="21">
        <v>343012</v>
      </c>
      <c r="D133" s="21">
        <v>350531</v>
      </c>
      <c r="E133" s="23">
        <f t="shared" si="40"/>
        <v>-2.1450313952260998E-2</v>
      </c>
      <c r="F133" s="21">
        <f>+C133-162356</f>
        <v>180656</v>
      </c>
      <c r="G133" s="21">
        <f>+D133-173337</f>
        <v>177194</v>
      </c>
      <c r="H133" s="23">
        <f t="shared" si="41"/>
        <v>1.9537907604094948E-2</v>
      </c>
      <c r="I133" s="24">
        <f t="shared" si="42"/>
        <v>43.195962735997576</v>
      </c>
      <c r="J133" s="24">
        <f t="shared" si="43"/>
        <v>82.016282714108584</v>
      </c>
      <c r="K133" s="21">
        <v>14816733.57</v>
      </c>
      <c r="L133" s="21">
        <v>14781579.57</v>
      </c>
      <c r="M133" s="25">
        <f t="shared" si="44"/>
        <v>2.3782302719086196E-3</v>
      </c>
      <c r="N133" s="10"/>
      <c r="R133" s="2"/>
    </row>
    <row r="134" spans="1:18" ht="15.75" customHeight="1" x14ac:dyDescent="0.25">
      <c r="A134" s="19"/>
      <c r="B134" s="20">
        <f>DATE(2018,12,1)</f>
        <v>43435</v>
      </c>
      <c r="C134" s="21">
        <v>404087</v>
      </c>
      <c r="D134" s="21">
        <v>390264</v>
      </c>
      <c r="E134" s="23">
        <f t="shared" si="40"/>
        <v>3.5419613389910419E-2</v>
      </c>
      <c r="F134" s="21">
        <f>+C134-195394</f>
        <v>208693</v>
      </c>
      <c r="G134" s="21">
        <f>+D134-192232</f>
        <v>198032</v>
      </c>
      <c r="H134" s="23">
        <f t="shared" si="41"/>
        <v>5.383473378039913E-2</v>
      </c>
      <c r="I134" s="24">
        <f t="shared" si="42"/>
        <v>41.810716652602032</v>
      </c>
      <c r="J134" s="24">
        <f t="shared" si="43"/>
        <v>80.957037658186906</v>
      </c>
      <c r="K134" s="21">
        <v>16895167.059999999</v>
      </c>
      <c r="L134" s="21">
        <v>16446628.41</v>
      </c>
      <c r="M134" s="25">
        <f t="shared" si="44"/>
        <v>2.7272376977111899E-2</v>
      </c>
      <c r="N134" s="10"/>
      <c r="R134" s="2"/>
    </row>
    <row r="135" spans="1:18" ht="15.75" customHeight="1" x14ac:dyDescent="0.25">
      <c r="A135" s="19"/>
      <c r="B135" s="20">
        <f>DATE(2019,1,1)</f>
        <v>43466</v>
      </c>
      <c r="C135" s="21">
        <v>340841</v>
      </c>
      <c r="D135" s="21">
        <v>343731</v>
      </c>
      <c r="E135" s="23">
        <f t="shared" si="40"/>
        <v>-8.4077374458515521E-3</v>
      </c>
      <c r="F135" s="21">
        <f>+C135-167445</f>
        <v>173396</v>
      </c>
      <c r="G135" s="21">
        <f>+D135-170444</f>
        <v>173287</v>
      </c>
      <c r="H135" s="23">
        <f t="shared" si="41"/>
        <v>6.2901429420556649E-4</v>
      </c>
      <c r="I135" s="24">
        <f t="shared" si="42"/>
        <v>41.362925410968749</v>
      </c>
      <c r="J135" s="24">
        <f t="shared" si="43"/>
        <v>81.306263466285259</v>
      </c>
      <c r="K135" s="21">
        <v>14098180.859999999</v>
      </c>
      <c r="L135" s="21">
        <v>15056651.970000001</v>
      </c>
      <c r="M135" s="25">
        <f t="shared" si="44"/>
        <v>-6.365765190759079E-2</v>
      </c>
      <c r="N135" s="10"/>
      <c r="R135" s="2"/>
    </row>
    <row r="136" spans="1:18" ht="15.75" customHeight="1" x14ac:dyDescent="0.25">
      <c r="A136" s="19"/>
      <c r="B136" s="20">
        <f>DATE(2019,2,1)</f>
        <v>43497</v>
      </c>
      <c r="C136" s="21">
        <v>343444</v>
      </c>
      <c r="D136" s="21">
        <v>348132</v>
      </c>
      <c r="E136" s="23">
        <f t="shared" si="40"/>
        <v>-1.3466156515344755E-2</v>
      </c>
      <c r="F136" s="21">
        <f>+C136-166468</f>
        <v>176976</v>
      </c>
      <c r="G136" s="21">
        <f>+D136-170486</f>
        <v>177646</v>
      </c>
      <c r="H136" s="23">
        <f t="shared" si="41"/>
        <v>-3.7715456582191548E-3</v>
      </c>
      <c r="I136" s="24">
        <f t="shared" si="42"/>
        <v>43.484263286008783</v>
      </c>
      <c r="J136" s="24">
        <f t="shared" si="43"/>
        <v>84.386636154054784</v>
      </c>
      <c r="K136" s="21">
        <v>14934409.32</v>
      </c>
      <c r="L136" s="21">
        <v>15283647.060000001</v>
      </c>
      <c r="M136" s="25">
        <f t="shared" si="44"/>
        <v>-2.2850419054364125E-2</v>
      </c>
      <c r="N136" s="10"/>
      <c r="R136" s="2"/>
    </row>
    <row r="137" spans="1:18" ht="15.75" customHeight="1" x14ac:dyDescent="0.25">
      <c r="A137" s="19"/>
      <c r="B137" s="20">
        <f>DATE(2019,3,1)</f>
        <v>43525</v>
      </c>
      <c r="C137" s="21">
        <v>433827</v>
      </c>
      <c r="D137" s="21">
        <v>425327</v>
      </c>
      <c r="E137" s="23">
        <f t="shared" si="40"/>
        <v>1.9984623595492409E-2</v>
      </c>
      <c r="F137" s="21">
        <f>+C137-215065</f>
        <v>218762</v>
      </c>
      <c r="G137" s="21">
        <f>+D137-208257</f>
        <v>217070</v>
      </c>
      <c r="H137" s="23">
        <f t="shared" si="41"/>
        <v>7.7947205970424283E-3</v>
      </c>
      <c r="I137" s="24">
        <f t="shared" si="42"/>
        <v>43.030317845592826</v>
      </c>
      <c r="J137" s="24">
        <f t="shared" si="43"/>
        <v>85.333438622795541</v>
      </c>
      <c r="K137" s="21">
        <v>18667713.699999999</v>
      </c>
      <c r="L137" s="21">
        <v>18192792.949999999</v>
      </c>
      <c r="M137" s="25">
        <f t="shared" si="44"/>
        <v>2.610488402221936E-2</v>
      </c>
      <c r="N137" s="10"/>
      <c r="R137" s="2"/>
    </row>
    <row r="138" spans="1:18" ht="15.75" customHeight="1" x14ac:dyDescent="0.25">
      <c r="A138" s="19"/>
      <c r="B138" s="20">
        <f>DATE(2019,4,1)</f>
        <v>43556</v>
      </c>
      <c r="C138" s="21">
        <v>348018</v>
      </c>
      <c r="D138" s="21">
        <v>373488</v>
      </c>
      <c r="E138" s="23">
        <f t="shared" si="40"/>
        <v>-6.8194962087135325E-2</v>
      </c>
      <c r="F138" s="21">
        <f>+C138-170199</f>
        <v>177819</v>
      </c>
      <c r="G138" s="21">
        <f>+D138-185696</f>
        <v>187792</v>
      </c>
      <c r="H138" s="23">
        <f t="shared" si="41"/>
        <v>-5.3106628610377439E-2</v>
      </c>
      <c r="I138" s="24">
        <f t="shared" si="42"/>
        <v>45.637301375216225</v>
      </c>
      <c r="J138" s="24">
        <f t="shared" si="43"/>
        <v>89.318927392460864</v>
      </c>
      <c r="K138" s="21">
        <v>15882602.35</v>
      </c>
      <c r="L138" s="21">
        <v>16406098.98</v>
      </c>
      <c r="M138" s="25">
        <f t="shared" si="44"/>
        <v>-3.1908659739172243E-2</v>
      </c>
      <c r="N138" s="10"/>
      <c r="R138" s="2"/>
    </row>
    <row r="139" spans="1:18" ht="15.75" customHeight="1" x14ac:dyDescent="0.25">
      <c r="A139" s="19"/>
      <c r="B139" s="20">
        <f>DATE(2019,5,1)</f>
        <v>43586</v>
      </c>
      <c r="C139" s="21">
        <v>370304</v>
      </c>
      <c r="D139" s="21">
        <v>380057</v>
      </c>
      <c r="E139" s="23">
        <f t="shared" si="40"/>
        <v>-2.5661940182656811E-2</v>
      </c>
      <c r="F139" s="21">
        <f>+C139-180250</f>
        <v>190054</v>
      </c>
      <c r="G139" s="21">
        <f>+D139-186127</f>
        <v>193930</v>
      </c>
      <c r="H139" s="23">
        <f t="shared" si="41"/>
        <v>-1.9986593100603311E-2</v>
      </c>
      <c r="I139" s="24">
        <f t="shared" si="42"/>
        <v>45.679881826823369</v>
      </c>
      <c r="J139" s="24">
        <f t="shared" si="43"/>
        <v>89.003351468529999</v>
      </c>
      <c r="K139" s="21">
        <v>16915442.960000001</v>
      </c>
      <c r="L139" s="21">
        <v>16378583.08</v>
      </c>
      <c r="M139" s="25">
        <f t="shared" si="44"/>
        <v>3.2778163860557881E-2</v>
      </c>
      <c r="N139" s="10"/>
      <c r="R139" s="2"/>
    </row>
    <row r="140" spans="1:18" ht="15.75" customHeight="1" x14ac:dyDescent="0.25">
      <c r="A140" s="19"/>
      <c r="B140" s="20">
        <f>DATE(2019,6,1)</f>
        <v>43617</v>
      </c>
      <c r="C140" s="21">
        <v>358552</v>
      </c>
      <c r="D140" s="21">
        <v>379651</v>
      </c>
      <c r="E140" s="23">
        <f t="shared" si="40"/>
        <v>-5.5574725208151696E-2</v>
      </c>
      <c r="F140" s="21">
        <f>+C140-171170</f>
        <v>187382</v>
      </c>
      <c r="G140" s="21">
        <f>+D140-184020</f>
        <v>195631</v>
      </c>
      <c r="H140" s="23">
        <f t="shared" si="41"/>
        <v>-4.2166118866641789E-2</v>
      </c>
      <c r="I140" s="24">
        <f t="shared" si="42"/>
        <v>44.063989072714698</v>
      </c>
      <c r="J140" s="24">
        <f t="shared" si="43"/>
        <v>84.315630156578536</v>
      </c>
      <c r="K140" s="21">
        <v>15799231.41</v>
      </c>
      <c r="L140" s="21">
        <v>16032247.43</v>
      </c>
      <c r="M140" s="25">
        <f t="shared" si="44"/>
        <v>-1.4534208071413202E-2</v>
      </c>
      <c r="N140" s="10"/>
      <c r="R140" s="2"/>
    </row>
    <row r="141" spans="1:18" ht="15.75" customHeight="1" thickBot="1" x14ac:dyDescent="0.3">
      <c r="A141" s="19"/>
      <c r="B141" s="45"/>
      <c r="C141" s="21"/>
      <c r="D141" s="21"/>
      <c r="E141" s="23"/>
      <c r="F141" s="21"/>
      <c r="G141" s="21"/>
      <c r="H141" s="23"/>
      <c r="I141" s="24"/>
      <c r="J141" s="24"/>
      <c r="K141" s="21"/>
      <c r="L141" s="21"/>
      <c r="M141" s="25"/>
      <c r="N141" s="10"/>
      <c r="R141" s="2"/>
    </row>
    <row r="142" spans="1:18" ht="17.25" thickTop="1" thickBot="1" x14ac:dyDescent="0.3">
      <c r="A142" s="39" t="s">
        <v>14</v>
      </c>
      <c r="B142" s="40"/>
      <c r="C142" s="41">
        <f>SUM(C129:C141)</f>
        <v>4501841</v>
      </c>
      <c r="D142" s="41">
        <f>SUM(D129:D141)</f>
        <v>4530224</v>
      </c>
      <c r="E142" s="280">
        <f>(+C142-D142)/D142</f>
        <v>-6.2652531088970434E-3</v>
      </c>
      <c r="F142" s="41">
        <f>SUM(F129:F141)</f>
        <v>2317349</v>
      </c>
      <c r="G142" s="41">
        <f>SUM(G129:G141)</f>
        <v>2305592</v>
      </c>
      <c r="H142" s="42">
        <f>(+F142-G142)/G142</f>
        <v>5.0993410802952126E-3</v>
      </c>
      <c r="I142" s="43">
        <f>K142/C142</f>
        <v>43.340374464580158</v>
      </c>
      <c r="J142" s="43">
        <f>K142/F142</f>
        <v>84.195982012204468</v>
      </c>
      <c r="K142" s="41">
        <f>SUM(K129:K141)</f>
        <v>195111474.72</v>
      </c>
      <c r="L142" s="41">
        <f>SUM(L129:L141)</f>
        <v>191530805.41999999</v>
      </c>
      <c r="M142" s="44">
        <f>(+K142-L142)/L142</f>
        <v>1.869500466072865E-2</v>
      </c>
      <c r="N142" s="10"/>
      <c r="R142" s="2"/>
    </row>
    <row r="143" spans="1:18" ht="15.75" customHeight="1" thickTop="1" x14ac:dyDescent="0.2">
      <c r="A143" s="54"/>
      <c r="B143" s="55"/>
      <c r="C143" s="55"/>
      <c r="D143" s="55"/>
      <c r="E143" s="56"/>
      <c r="F143" s="55"/>
      <c r="G143" s="55"/>
      <c r="H143" s="56"/>
      <c r="I143" s="55"/>
      <c r="J143" s="55"/>
      <c r="K143" s="196"/>
      <c r="L143" s="196"/>
      <c r="M143" s="57"/>
      <c r="N143" s="10"/>
      <c r="R143" s="2"/>
    </row>
    <row r="144" spans="1:18" ht="15.75" customHeight="1" x14ac:dyDescent="0.25">
      <c r="A144" s="19" t="s">
        <v>58</v>
      </c>
      <c r="B144" s="20">
        <f>DATE(2018,7,1)</f>
        <v>43282</v>
      </c>
      <c r="C144" s="21">
        <v>437171</v>
      </c>
      <c r="D144" s="21">
        <v>487621</v>
      </c>
      <c r="E144" s="23">
        <f t="shared" ref="E144:E155" si="45">(+C144-D144)/D144</f>
        <v>-0.10346149981235427</v>
      </c>
      <c r="F144" s="21">
        <f>+C144-202695</f>
        <v>234476</v>
      </c>
      <c r="G144" s="21">
        <f>+D144-237847</f>
        <v>249774</v>
      </c>
      <c r="H144" s="23">
        <f t="shared" ref="H144:H155" si="46">(+F144-G144)/G144</f>
        <v>-6.1247367620328778E-2</v>
      </c>
      <c r="I144" s="24">
        <f t="shared" ref="I144:I155" si="47">K144/C144</f>
        <v>44.80435008269076</v>
      </c>
      <c r="J144" s="24">
        <f t="shared" ref="J144:J155" si="48">K144/F144</f>
        <v>83.535895059622305</v>
      </c>
      <c r="K144" s="21">
        <v>19587162.530000001</v>
      </c>
      <c r="L144" s="21">
        <v>19804673.68</v>
      </c>
      <c r="M144" s="25">
        <f t="shared" ref="M144:M155" si="49">(+K144-L144)/L144</f>
        <v>-1.0982819182709125E-2</v>
      </c>
      <c r="N144" s="10"/>
      <c r="R144" s="2"/>
    </row>
    <row r="145" spans="1:18" ht="15.75" customHeight="1" x14ac:dyDescent="0.25">
      <c r="A145" s="19"/>
      <c r="B145" s="20">
        <f>DATE(2018,8,1)</f>
        <v>43313</v>
      </c>
      <c r="C145" s="21">
        <v>428435</v>
      </c>
      <c r="D145" s="21">
        <v>450476</v>
      </c>
      <c r="E145" s="23">
        <f t="shared" si="45"/>
        <v>-4.8928244789955513E-2</v>
      </c>
      <c r="F145" s="21">
        <f>+C145-198491</f>
        <v>229944</v>
      </c>
      <c r="G145" s="21">
        <f>+D145-212152</f>
        <v>238324</v>
      </c>
      <c r="H145" s="23">
        <f t="shared" si="46"/>
        <v>-3.5162216142730067E-2</v>
      </c>
      <c r="I145" s="24">
        <f t="shared" si="47"/>
        <v>44.517808909169418</v>
      </c>
      <c r="J145" s="24">
        <f t="shared" si="48"/>
        <v>82.946228038131025</v>
      </c>
      <c r="K145" s="21">
        <v>19072987.460000001</v>
      </c>
      <c r="L145" s="21">
        <v>18591700.170000002</v>
      </c>
      <c r="M145" s="25">
        <f t="shared" si="49"/>
        <v>2.5887212336643393E-2</v>
      </c>
      <c r="N145" s="10"/>
      <c r="R145" s="2"/>
    </row>
    <row r="146" spans="1:18" ht="15.75" customHeight="1" x14ac:dyDescent="0.25">
      <c r="A146" s="19"/>
      <c r="B146" s="20">
        <f>DATE(2018,9,1)</f>
        <v>43344</v>
      </c>
      <c r="C146" s="21">
        <v>430488</v>
      </c>
      <c r="D146" s="21">
        <v>460463</v>
      </c>
      <c r="E146" s="23">
        <f t="shared" si="45"/>
        <v>-6.509752140780041E-2</v>
      </c>
      <c r="F146" s="21">
        <f>+C146-198602</f>
        <v>231886</v>
      </c>
      <c r="G146" s="21">
        <f>+D146-224219</f>
        <v>236244</v>
      </c>
      <c r="H146" s="23">
        <f t="shared" si="46"/>
        <v>-1.8447029342544149E-2</v>
      </c>
      <c r="I146" s="24">
        <f t="shared" si="47"/>
        <v>42.261882909628142</v>
      </c>
      <c r="J146" s="24">
        <f t="shared" si="48"/>
        <v>78.457662170204316</v>
      </c>
      <c r="K146" s="21">
        <v>18193233.449999999</v>
      </c>
      <c r="L146" s="21">
        <v>18717604.129999999</v>
      </c>
      <c r="M146" s="25">
        <f t="shared" si="49"/>
        <v>-2.8014839739000277E-2</v>
      </c>
      <c r="N146" s="10"/>
      <c r="R146" s="2"/>
    </row>
    <row r="147" spans="1:18" ht="15.75" customHeight="1" x14ac:dyDescent="0.25">
      <c r="A147" s="19"/>
      <c r="B147" s="20">
        <f>DATE(2018,10,1)</f>
        <v>43374</v>
      </c>
      <c r="C147" s="21">
        <v>407351</v>
      </c>
      <c r="D147" s="21">
        <v>417011</v>
      </c>
      <c r="E147" s="23">
        <f t="shared" si="45"/>
        <v>-2.316485656253672E-2</v>
      </c>
      <c r="F147" s="21">
        <f>+C147-184649</f>
        <v>222702</v>
      </c>
      <c r="G147" s="21">
        <f>+D147-199528</f>
        <v>217483</v>
      </c>
      <c r="H147" s="23">
        <f t="shared" si="46"/>
        <v>2.3997277948161467E-2</v>
      </c>
      <c r="I147" s="24">
        <f t="shared" si="47"/>
        <v>41.140794425446359</v>
      </c>
      <c r="J147" s="24">
        <f t="shared" si="48"/>
        <v>75.251878070246335</v>
      </c>
      <c r="K147" s="21">
        <v>16758743.75</v>
      </c>
      <c r="L147" s="21">
        <v>17765294.359999999</v>
      </c>
      <c r="M147" s="25">
        <f t="shared" si="49"/>
        <v>-5.6658256801324365E-2</v>
      </c>
      <c r="N147" s="10"/>
      <c r="R147" s="2"/>
    </row>
    <row r="148" spans="1:18" ht="15.75" customHeight="1" x14ac:dyDescent="0.25">
      <c r="A148" s="19"/>
      <c r="B148" s="20">
        <f>DATE(2018,11,1)</f>
        <v>43405</v>
      </c>
      <c r="C148" s="21">
        <v>411941</v>
      </c>
      <c r="D148" s="21">
        <v>418322</v>
      </c>
      <c r="E148" s="23">
        <f t="shared" si="45"/>
        <v>-1.5253799704533827E-2</v>
      </c>
      <c r="F148" s="21">
        <f>+C148-188303</f>
        <v>223638</v>
      </c>
      <c r="G148" s="21">
        <f>+D148-203115</f>
        <v>215207</v>
      </c>
      <c r="H148" s="23">
        <f t="shared" si="46"/>
        <v>3.9176234973769437E-2</v>
      </c>
      <c r="I148" s="24">
        <f t="shared" si="47"/>
        <v>47.356731813536406</v>
      </c>
      <c r="J148" s="24">
        <f t="shared" si="48"/>
        <v>87.231058496319946</v>
      </c>
      <c r="K148" s="21">
        <v>19508179.460000001</v>
      </c>
      <c r="L148" s="21">
        <v>17634313.489999998</v>
      </c>
      <c r="M148" s="25">
        <f t="shared" si="49"/>
        <v>0.10626248484595828</v>
      </c>
      <c r="N148" s="10"/>
      <c r="R148" s="2"/>
    </row>
    <row r="149" spans="1:18" ht="15.75" customHeight="1" x14ac:dyDescent="0.25">
      <c r="A149" s="19"/>
      <c r="B149" s="20">
        <f>DATE(2018,12,1)</f>
        <v>43435</v>
      </c>
      <c r="C149" s="21">
        <v>472920</v>
      </c>
      <c r="D149" s="21">
        <v>463864</v>
      </c>
      <c r="E149" s="23">
        <f t="shared" si="45"/>
        <v>1.9522963627270063E-2</v>
      </c>
      <c r="F149" s="21">
        <f>+C149-218118</f>
        <v>254802</v>
      </c>
      <c r="G149" s="21">
        <f>+D149-225145</f>
        <v>238719</v>
      </c>
      <c r="H149" s="23">
        <f t="shared" si="46"/>
        <v>6.7372098576150202E-2</v>
      </c>
      <c r="I149" s="24">
        <f t="shared" si="47"/>
        <v>43.472668908060555</v>
      </c>
      <c r="J149" s="24">
        <f t="shared" si="48"/>
        <v>80.686551047479995</v>
      </c>
      <c r="K149" s="21">
        <v>20559094.579999998</v>
      </c>
      <c r="L149" s="21">
        <v>19260849.600000001</v>
      </c>
      <c r="M149" s="25">
        <f t="shared" si="49"/>
        <v>6.7403308107446963E-2</v>
      </c>
      <c r="N149" s="10"/>
      <c r="R149" s="2"/>
    </row>
    <row r="150" spans="1:18" ht="15.75" customHeight="1" x14ac:dyDescent="0.25">
      <c r="A150" s="19"/>
      <c r="B150" s="20">
        <f>DATE(2019,1,1)</f>
        <v>43466</v>
      </c>
      <c r="C150" s="21">
        <v>350517</v>
      </c>
      <c r="D150" s="21">
        <v>394135</v>
      </c>
      <c r="E150" s="23">
        <f t="shared" si="45"/>
        <v>-0.11066766463267662</v>
      </c>
      <c r="F150" s="21">
        <f>+C150-164493</f>
        <v>186024</v>
      </c>
      <c r="G150" s="21">
        <f>+D150-197319</f>
        <v>196816</v>
      </c>
      <c r="H150" s="23">
        <f t="shared" si="46"/>
        <v>-5.4832940411348674E-2</v>
      </c>
      <c r="I150" s="24">
        <f t="shared" si="47"/>
        <v>45.875594136660993</v>
      </c>
      <c r="J150" s="24">
        <f t="shared" si="48"/>
        <v>86.441403421063953</v>
      </c>
      <c r="K150" s="21">
        <v>16080175.630000001</v>
      </c>
      <c r="L150" s="21">
        <v>16549428.66</v>
      </c>
      <c r="M150" s="25">
        <f t="shared" si="49"/>
        <v>-2.8354636262107633E-2</v>
      </c>
      <c r="N150" s="10"/>
      <c r="R150" s="2"/>
    </row>
    <row r="151" spans="1:18" ht="15.75" customHeight="1" x14ac:dyDescent="0.25">
      <c r="A151" s="19"/>
      <c r="B151" s="20">
        <f>DATE(2019,2,1)</f>
        <v>43497</v>
      </c>
      <c r="C151" s="21">
        <v>392165</v>
      </c>
      <c r="D151" s="21">
        <v>427928</v>
      </c>
      <c r="E151" s="23">
        <f t="shared" si="45"/>
        <v>-8.3572470135162918E-2</v>
      </c>
      <c r="F151" s="21">
        <f>+C151-179856</f>
        <v>212309</v>
      </c>
      <c r="G151" s="21">
        <f>+D151-211910</f>
        <v>216018</v>
      </c>
      <c r="H151" s="23">
        <f t="shared" si="46"/>
        <v>-1.716986547417345E-2</v>
      </c>
      <c r="I151" s="24">
        <f t="shared" si="47"/>
        <v>44.507027093187823</v>
      </c>
      <c r="J151" s="24">
        <f t="shared" si="48"/>
        <v>82.210826107230503</v>
      </c>
      <c r="K151" s="21">
        <v>17454098.280000001</v>
      </c>
      <c r="L151" s="21">
        <v>17946175.879999999</v>
      </c>
      <c r="M151" s="25">
        <f t="shared" si="49"/>
        <v>-2.7419635430431199E-2</v>
      </c>
      <c r="N151" s="10"/>
      <c r="R151" s="2"/>
    </row>
    <row r="152" spans="1:18" ht="15.75" customHeight="1" x14ac:dyDescent="0.25">
      <c r="A152" s="19"/>
      <c r="B152" s="20">
        <f>DATE(2019,3,1)</f>
        <v>43525</v>
      </c>
      <c r="C152" s="21">
        <v>469490</v>
      </c>
      <c r="D152" s="21">
        <v>524386</v>
      </c>
      <c r="E152" s="23">
        <f t="shared" si="45"/>
        <v>-0.10468624257703295</v>
      </c>
      <c r="F152" s="21">
        <f>+C152-217591</f>
        <v>251899</v>
      </c>
      <c r="G152" s="21">
        <f>+D152-260974</f>
        <v>263412</v>
      </c>
      <c r="H152" s="23">
        <f t="shared" si="46"/>
        <v>-4.3707196331222574E-2</v>
      </c>
      <c r="I152" s="24">
        <f t="shared" si="47"/>
        <v>44.408252316343265</v>
      </c>
      <c r="J152" s="24">
        <f t="shared" si="48"/>
        <v>82.76821416520113</v>
      </c>
      <c r="K152" s="21">
        <v>20849230.379999999</v>
      </c>
      <c r="L152" s="21">
        <v>22098734.530000001</v>
      </c>
      <c r="M152" s="25">
        <f t="shared" si="49"/>
        <v>-5.6541886971117984E-2</v>
      </c>
      <c r="N152" s="10"/>
      <c r="R152" s="2"/>
    </row>
    <row r="153" spans="1:18" ht="15.75" customHeight="1" x14ac:dyDescent="0.25">
      <c r="A153" s="19"/>
      <c r="B153" s="20">
        <f>DATE(2019,4,1)</f>
        <v>43556</v>
      </c>
      <c r="C153" s="21">
        <v>370104</v>
      </c>
      <c r="D153" s="21">
        <v>423715</v>
      </c>
      <c r="E153" s="23">
        <f t="shared" si="45"/>
        <v>-0.12652608475036287</v>
      </c>
      <c r="F153" s="21">
        <f>+C153-169075</f>
        <v>201029</v>
      </c>
      <c r="G153" s="21">
        <f>+D153-207242</f>
        <v>216473</v>
      </c>
      <c r="H153" s="23">
        <f t="shared" si="46"/>
        <v>-7.1343770354732466E-2</v>
      </c>
      <c r="I153" s="24">
        <f t="shared" si="47"/>
        <v>47.771623030283379</v>
      </c>
      <c r="J153" s="24">
        <f t="shared" si="48"/>
        <v>87.949841913355783</v>
      </c>
      <c r="K153" s="21">
        <v>17680468.77</v>
      </c>
      <c r="L153" s="21">
        <v>18655559.16</v>
      </c>
      <c r="M153" s="25">
        <f t="shared" si="49"/>
        <v>-5.2268087042425623E-2</v>
      </c>
      <c r="N153" s="10"/>
      <c r="R153" s="2"/>
    </row>
    <row r="154" spans="1:18" ht="15.75" customHeight="1" x14ac:dyDescent="0.25">
      <c r="A154" s="19"/>
      <c r="B154" s="20">
        <f>DATE(2019,5,1)</f>
        <v>43586</v>
      </c>
      <c r="C154" s="21">
        <v>407646</v>
      </c>
      <c r="D154" s="21">
        <v>416487</v>
      </c>
      <c r="E154" s="23">
        <f t="shared" si="45"/>
        <v>-2.122755332099201E-2</v>
      </c>
      <c r="F154" s="21">
        <f>+C154-184734</f>
        <v>222912</v>
      </c>
      <c r="G154" s="21">
        <f>+D154-196140</f>
        <v>220347</v>
      </c>
      <c r="H154" s="23">
        <f t="shared" si="46"/>
        <v>1.1640730302658988E-2</v>
      </c>
      <c r="I154" s="24">
        <f t="shared" si="47"/>
        <v>43.898014331061752</v>
      </c>
      <c r="J154" s="24">
        <f t="shared" si="48"/>
        <v>80.277642971217333</v>
      </c>
      <c r="K154" s="21">
        <v>17894849.949999999</v>
      </c>
      <c r="L154" s="21">
        <v>18044283.859999999</v>
      </c>
      <c r="M154" s="25">
        <f t="shared" si="49"/>
        <v>-8.2815095993507698E-3</v>
      </c>
      <c r="N154" s="10"/>
      <c r="R154" s="2"/>
    </row>
    <row r="155" spans="1:18" ht="15.75" customHeight="1" x14ac:dyDescent="0.25">
      <c r="A155" s="19"/>
      <c r="B155" s="20">
        <f>DATE(2019,6,1)</f>
        <v>43617</v>
      </c>
      <c r="C155" s="21">
        <v>368805</v>
      </c>
      <c r="D155" s="21">
        <v>422096</v>
      </c>
      <c r="E155" s="23">
        <f t="shared" si="45"/>
        <v>-0.12625326939843068</v>
      </c>
      <c r="F155" s="21">
        <f>+C155-170218</f>
        <v>198587</v>
      </c>
      <c r="G155" s="21">
        <f>+D155-195992</f>
        <v>226104</v>
      </c>
      <c r="H155" s="23">
        <f t="shared" si="46"/>
        <v>-0.12170063333687153</v>
      </c>
      <c r="I155" s="24">
        <f t="shared" si="47"/>
        <v>45.276584021366304</v>
      </c>
      <c r="J155" s="24">
        <f t="shared" si="48"/>
        <v>84.085214893220609</v>
      </c>
      <c r="K155" s="21">
        <v>16698230.57</v>
      </c>
      <c r="L155" s="21">
        <v>19309687.329999998</v>
      </c>
      <c r="M155" s="25">
        <f t="shared" si="49"/>
        <v>-0.1352407584530266</v>
      </c>
      <c r="N155" s="10"/>
      <c r="R155" s="2"/>
    </row>
    <row r="156" spans="1:18" ht="15.75" customHeight="1" thickBot="1" x14ac:dyDescent="0.3">
      <c r="A156" s="19"/>
      <c r="B156" s="45"/>
      <c r="C156" s="21"/>
      <c r="D156" s="21"/>
      <c r="E156" s="23"/>
      <c r="F156" s="21"/>
      <c r="G156" s="21"/>
      <c r="H156" s="23"/>
      <c r="I156" s="24"/>
      <c r="J156" s="24"/>
      <c r="K156" s="21"/>
      <c r="L156" s="21"/>
      <c r="M156" s="25"/>
      <c r="N156" s="10"/>
      <c r="R156" s="2"/>
    </row>
    <row r="157" spans="1:18" ht="17.25" thickTop="1" thickBot="1" x14ac:dyDescent="0.3">
      <c r="A157" s="39" t="s">
        <v>14</v>
      </c>
      <c r="B157" s="40"/>
      <c r="C157" s="41">
        <f>SUM(C144:C156)</f>
        <v>4947033</v>
      </c>
      <c r="D157" s="41">
        <f>SUM(D144:D156)</f>
        <v>5306504</v>
      </c>
      <c r="E157" s="280">
        <f>(+C157-D157)/D157</f>
        <v>-6.7741586551145538E-2</v>
      </c>
      <c r="F157" s="41">
        <f>SUM(F144:F156)</f>
        <v>2670208</v>
      </c>
      <c r="G157" s="41">
        <f>SUM(G144:G156)</f>
        <v>2734921</v>
      </c>
      <c r="H157" s="42">
        <f>(+F157-G157)/G157</f>
        <v>-2.36617437944277E-2</v>
      </c>
      <c r="I157" s="43">
        <f>K157/C157</f>
        <v>44.539111586682353</v>
      </c>
      <c r="J157" s="43">
        <f>K157/F157</f>
        <v>82.516588524189871</v>
      </c>
      <c r="K157" s="41">
        <f>SUM(K144:K156)</f>
        <v>220336454.80999997</v>
      </c>
      <c r="L157" s="41">
        <f>SUM(L144:L156)</f>
        <v>224378304.84999996</v>
      </c>
      <c r="M157" s="44">
        <f>(+K157-L157)/L157</f>
        <v>-1.8013551010210301E-2</v>
      </c>
      <c r="N157" s="10"/>
      <c r="R157" s="2"/>
    </row>
    <row r="158" spans="1:18" ht="15.75" customHeight="1" thickTop="1" x14ac:dyDescent="0.2">
      <c r="A158" s="58"/>
      <c r="B158" s="59"/>
      <c r="C158" s="59"/>
      <c r="D158" s="59"/>
      <c r="E158" s="60"/>
      <c r="F158" s="59"/>
      <c r="G158" s="59"/>
      <c r="H158" s="60"/>
      <c r="I158" s="59"/>
      <c r="J158" s="59"/>
      <c r="K158" s="197"/>
      <c r="L158" s="197"/>
      <c r="M158" s="61"/>
      <c r="N158" s="10"/>
      <c r="R158" s="2"/>
    </row>
    <row r="159" spans="1:18" ht="15" customHeight="1" x14ac:dyDescent="0.25">
      <c r="A159" s="19" t="s">
        <v>59</v>
      </c>
      <c r="B159" s="20">
        <f>DATE(2018,7,1)</f>
        <v>43282</v>
      </c>
      <c r="C159" s="21">
        <v>63934</v>
      </c>
      <c r="D159" s="21">
        <v>62927</v>
      </c>
      <c r="E159" s="23">
        <f t="shared" ref="E159:E170" si="50">(+C159-D159)/D159</f>
        <v>1.6002669760198325E-2</v>
      </c>
      <c r="F159" s="21">
        <f>+C159-30110</f>
        <v>33824</v>
      </c>
      <c r="G159" s="21">
        <f>+D159-30201</f>
        <v>32726</v>
      </c>
      <c r="H159" s="23">
        <f t="shared" ref="H159:H170" si="51">(+F159-G159)/G159</f>
        <v>3.3551304772963392E-2</v>
      </c>
      <c r="I159" s="24">
        <f t="shared" ref="I159:I170" si="52">K159/C159</f>
        <v>44.104667156755404</v>
      </c>
      <c r="J159" s="24">
        <f t="shared" ref="J159:J170" si="53">K159/F159</f>
        <v>83.366479127246933</v>
      </c>
      <c r="K159" s="21">
        <v>2819787.79</v>
      </c>
      <c r="L159" s="21">
        <v>2929610.63</v>
      </c>
      <c r="M159" s="25">
        <f t="shared" ref="M159:M170" si="54">(+K159-L159)/L159</f>
        <v>-3.748717965294926E-2</v>
      </c>
      <c r="N159" s="10"/>
      <c r="R159" s="2"/>
    </row>
    <row r="160" spans="1:18" ht="15" customHeight="1" x14ac:dyDescent="0.25">
      <c r="A160" s="19"/>
      <c r="B160" s="20">
        <f>DATE(2018,8,1)</f>
        <v>43313</v>
      </c>
      <c r="C160" s="21">
        <v>61004</v>
      </c>
      <c r="D160" s="21">
        <v>58528</v>
      </c>
      <c r="E160" s="23">
        <f t="shared" si="50"/>
        <v>4.2304537998906509E-2</v>
      </c>
      <c r="F160" s="21">
        <f>+C160-29259</f>
        <v>31745</v>
      </c>
      <c r="G160" s="21">
        <f>+D160-27538</f>
        <v>30990</v>
      </c>
      <c r="H160" s="23">
        <f t="shared" si="51"/>
        <v>2.436269764440142E-2</v>
      </c>
      <c r="I160" s="24">
        <f t="shared" si="52"/>
        <v>45.564104157104452</v>
      </c>
      <c r="J160" s="24">
        <f t="shared" si="53"/>
        <v>87.560012915419748</v>
      </c>
      <c r="K160" s="21">
        <v>2779592.61</v>
      </c>
      <c r="L160" s="21">
        <v>2672799.7599999998</v>
      </c>
      <c r="M160" s="25">
        <f t="shared" si="54"/>
        <v>3.9955424868790057E-2</v>
      </c>
      <c r="N160" s="10"/>
      <c r="R160" s="2"/>
    </row>
    <row r="161" spans="1:18" ht="15" customHeight="1" x14ac:dyDescent="0.25">
      <c r="A161" s="19"/>
      <c r="B161" s="20">
        <f>DATE(2018,9,1)</f>
        <v>43344</v>
      </c>
      <c r="C161" s="21">
        <v>57391</v>
      </c>
      <c r="D161" s="21">
        <v>59418</v>
      </c>
      <c r="E161" s="23">
        <f t="shared" si="50"/>
        <v>-3.4114241475647109E-2</v>
      </c>
      <c r="F161" s="21">
        <f>+C161-27760</f>
        <v>29631</v>
      </c>
      <c r="G161" s="21">
        <f>+D161-28421</f>
        <v>30997</v>
      </c>
      <c r="H161" s="23">
        <f t="shared" si="51"/>
        <v>-4.4068780849759653E-2</v>
      </c>
      <c r="I161" s="24">
        <f t="shared" si="52"/>
        <v>45.601388196755586</v>
      </c>
      <c r="J161" s="24">
        <f t="shared" si="53"/>
        <v>88.323352907428031</v>
      </c>
      <c r="K161" s="21">
        <v>2617109.27</v>
      </c>
      <c r="L161" s="21">
        <v>2764418.67</v>
      </c>
      <c r="M161" s="25">
        <f t="shared" si="54"/>
        <v>-5.3287659209738991E-2</v>
      </c>
      <c r="N161" s="10"/>
      <c r="R161" s="2"/>
    </row>
    <row r="162" spans="1:18" ht="15" customHeight="1" x14ac:dyDescent="0.25">
      <c r="A162" s="19"/>
      <c r="B162" s="20">
        <f>DATE(2018,10,1)</f>
        <v>43374</v>
      </c>
      <c r="C162" s="21">
        <v>54970</v>
      </c>
      <c r="D162" s="21">
        <v>52864</v>
      </c>
      <c r="E162" s="23">
        <f t="shared" si="50"/>
        <v>3.9838075060532691E-2</v>
      </c>
      <c r="F162" s="21">
        <f>+C162-26236</f>
        <v>28734</v>
      </c>
      <c r="G162" s="21">
        <f>+D162-24998</f>
        <v>27866</v>
      </c>
      <c r="H162" s="23">
        <f t="shared" si="51"/>
        <v>3.1149070551927078E-2</v>
      </c>
      <c r="I162" s="24">
        <f t="shared" si="52"/>
        <v>46.124502092050207</v>
      </c>
      <c r="J162" s="24">
        <f t="shared" si="53"/>
        <v>88.239155008004445</v>
      </c>
      <c r="K162" s="21">
        <v>2535463.88</v>
      </c>
      <c r="L162" s="21">
        <v>2564041.46</v>
      </c>
      <c r="M162" s="25">
        <f t="shared" si="54"/>
        <v>-1.1145521804471942E-2</v>
      </c>
      <c r="N162" s="10"/>
      <c r="R162" s="2"/>
    </row>
    <row r="163" spans="1:18" ht="15" customHeight="1" x14ac:dyDescent="0.25">
      <c r="A163" s="19"/>
      <c r="B163" s="20">
        <f>DATE(2018,11,1)</f>
        <v>43405</v>
      </c>
      <c r="C163" s="21">
        <v>49028</v>
      </c>
      <c r="D163" s="21">
        <v>54003</v>
      </c>
      <c r="E163" s="23">
        <f t="shared" si="50"/>
        <v>-9.212451160120734E-2</v>
      </c>
      <c r="F163" s="21">
        <f>+C163-24232</f>
        <v>24796</v>
      </c>
      <c r="G163" s="21">
        <f>+D163-25453</f>
        <v>28550</v>
      </c>
      <c r="H163" s="23">
        <f t="shared" si="51"/>
        <v>-0.13148861646234675</v>
      </c>
      <c r="I163" s="24">
        <f t="shared" si="52"/>
        <v>49.04757873052133</v>
      </c>
      <c r="J163" s="24">
        <f t="shared" si="53"/>
        <v>96.979540651718011</v>
      </c>
      <c r="K163" s="21">
        <v>2404704.69</v>
      </c>
      <c r="L163" s="21">
        <v>2490796.4900000002</v>
      </c>
      <c r="M163" s="25">
        <f t="shared" si="54"/>
        <v>-3.4563963915012694E-2</v>
      </c>
      <c r="N163" s="10"/>
      <c r="R163" s="2"/>
    </row>
    <row r="164" spans="1:18" ht="15" customHeight="1" x14ac:dyDescent="0.25">
      <c r="A164" s="19"/>
      <c r="B164" s="20">
        <f>DATE(2018,12,1)</f>
        <v>43435</v>
      </c>
      <c r="C164" s="21">
        <v>58147</v>
      </c>
      <c r="D164" s="21">
        <v>55987</v>
      </c>
      <c r="E164" s="23">
        <f t="shared" si="50"/>
        <v>3.8580384732169966E-2</v>
      </c>
      <c r="F164" s="21">
        <f>+C164-29074</f>
        <v>29073</v>
      </c>
      <c r="G164" s="21">
        <f>+D164-26854</f>
        <v>29133</v>
      </c>
      <c r="H164" s="23">
        <f t="shared" si="51"/>
        <v>-2.0595201318092883E-3</v>
      </c>
      <c r="I164" s="24">
        <f t="shared" si="52"/>
        <v>44.919320515245843</v>
      </c>
      <c r="J164" s="24">
        <f t="shared" si="53"/>
        <v>89.840186083307529</v>
      </c>
      <c r="K164" s="21">
        <v>2611923.73</v>
      </c>
      <c r="L164" s="21">
        <v>2654038.9300000002</v>
      </c>
      <c r="M164" s="25">
        <f t="shared" si="54"/>
        <v>-1.586834297114104E-2</v>
      </c>
      <c r="N164" s="10"/>
      <c r="R164" s="2"/>
    </row>
    <row r="165" spans="1:18" ht="15" customHeight="1" x14ac:dyDescent="0.25">
      <c r="A165" s="19"/>
      <c r="B165" s="20">
        <f>DATE(2019,1,1)</f>
        <v>43466</v>
      </c>
      <c r="C165" s="21">
        <v>41757</v>
      </c>
      <c r="D165" s="21">
        <v>52482</v>
      </c>
      <c r="E165" s="23">
        <f t="shared" si="50"/>
        <v>-0.20435577912427119</v>
      </c>
      <c r="F165" s="21">
        <f>+C165-21350</f>
        <v>20407</v>
      </c>
      <c r="G165" s="21">
        <f>+D165-25959</f>
        <v>26523</v>
      </c>
      <c r="H165" s="23">
        <f t="shared" si="51"/>
        <v>-0.23059231610300493</v>
      </c>
      <c r="I165" s="24">
        <f t="shared" si="52"/>
        <v>49.2249914984314</v>
      </c>
      <c r="J165" s="24">
        <f t="shared" si="53"/>
        <v>100.7246518351546</v>
      </c>
      <c r="K165" s="21">
        <v>2055487.97</v>
      </c>
      <c r="L165" s="21">
        <v>2554089.98</v>
      </c>
      <c r="M165" s="25">
        <f t="shared" si="54"/>
        <v>-0.19521708863209275</v>
      </c>
      <c r="N165" s="10"/>
      <c r="R165" s="2"/>
    </row>
    <row r="166" spans="1:18" ht="15" customHeight="1" x14ac:dyDescent="0.25">
      <c r="A166" s="19"/>
      <c r="B166" s="20">
        <f>DATE(2019,2,1)</f>
        <v>43497</v>
      </c>
      <c r="C166" s="21">
        <v>48742</v>
      </c>
      <c r="D166" s="21">
        <v>54321</v>
      </c>
      <c r="E166" s="23">
        <f t="shared" si="50"/>
        <v>-0.10270429483993299</v>
      </c>
      <c r="F166" s="21">
        <f>+C166-24917</f>
        <v>23825</v>
      </c>
      <c r="G166" s="21">
        <f>+D166-26653</f>
        <v>27668</v>
      </c>
      <c r="H166" s="23">
        <f t="shared" si="51"/>
        <v>-0.13889692063033107</v>
      </c>
      <c r="I166" s="24">
        <f t="shared" si="52"/>
        <v>50.067065774896392</v>
      </c>
      <c r="J166" s="24">
        <f t="shared" si="53"/>
        <v>102.42891584470094</v>
      </c>
      <c r="K166" s="21">
        <v>2440368.92</v>
      </c>
      <c r="L166" s="21">
        <v>2627841.65</v>
      </c>
      <c r="M166" s="25">
        <f t="shared" si="54"/>
        <v>-7.1340953896518081E-2</v>
      </c>
      <c r="N166" s="10"/>
      <c r="R166" s="2"/>
    </row>
    <row r="167" spans="1:18" ht="15" customHeight="1" x14ac:dyDescent="0.25">
      <c r="A167" s="19"/>
      <c r="B167" s="20">
        <f>DATE(2019,3,1)</f>
        <v>43525</v>
      </c>
      <c r="C167" s="21">
        <v>61678</v>
      </c>
      <c r="D167" s="21">
        <v>72081</v>
      </c>
      <c r="E167" s="23">
        <f t="shared" si="50"/>
        <v>-0.14432374689585328</v>
      </c>
      <c r="F167" s="21">
        <f>+C167-31460</f>
        <v>30218</v>
      </c>
      <c r="G167" s="21">
        <f>+D167-35399</f>
        <v>36682</v>
      </c>
      <c r="H167" s="23">
        <f t="shared" si="51"/>
        <v>-0.17621721825418463</v>
      </c>
      <c r="I167" s="24">
        <f t="shared" si="52"/>
        <v>49.927333895392202</v>
      </c>
      <c r="J167" s="24">
        <f t="shared" si="53"/>
        <v>101.90674763386062</v>
      </c>
      <c r="K167" s="21">
        <v>3079418.1</v>
      </c>
      <c r="L167" s="21">
        <v>3614132.94</v>
      </c>
      <c r="M167" s="25">
        <f t="shared" si="54"/>
        <v>-0.14795107121875817</v>
      </c>
      <c r="N167" s="10"/>
      <c r="R167" s="2"/>
    </row>
    <row r="168" spans="1:18" ht="15" customHeight="1" x14ac:dyDescent="0.25">
      <c r="A168" s="19"/>
      <c r="B168" s="20">
        <f>DATE(2019,4,1)</f>
        <v>43556</v>
      </c>
      <c r="C168" s="21">
        <v>52634</v>
      </c>
      <c r="D168" s="21">
        <v>60066</v>
      </c>
      <c r="E168" s="23">
        <f t="shared" si="50"/>
        <v>-0.12373056304731463</v>
      </c>
      <c r="F168" s="21">
        <f>+C168-26199</f>
        <v>26435</v>
      </c>
      <c r="G168" s="21">
        <f>+D168-29108</f>
        <v>30958</v>
      </c>
      <c r="H168" s="23">
        <f t="shared" si="51"/>
        <v>-0.14610116932618386</v>
      </c>
      <c r="I168" s="24">
        <f t="shared" si="52"/>
        <v>47.909465174601969</v>
      </c>
      <c r="J168" s="24">
        <f t="shared" si="53"/>
        <v>95.391215812369964</v>
      </c>
      <c r="K168" s="21">
        <v>2521666.79</v>
      </c>
      <c r="L168" s="21">
        <v>2909617.51</v>
      </c>
      <c r="M168" s="25">
        <f t="shared" si="54"/>
        <v>-0.13333392401807473</v>
      </c>
      <c r="N168" s="10"/>
      <c r="R168" s="2"/>
    </row>
    <row r="169" spans="1:18" ht="15" customHeight="1" x14ac:dyDescent="0.25">
      <c r="A169" s="19"/>
      <c r="B169" s="20">
        <f>DATE(2019,5,1)</f>
        <v>43586</v>
      </c>
      <c r="C169" s="21">
        <v>53321</v>
      </c>
      <c r="D169" s="21">
        <v>60028</v>
      </c>
      <c r="E169" s="23">
        <f t="shared" si="50"/>
        <v>-0.1117311921103485</v>
      </c>
      <c r="F169" s="21">
        <f>+C169-26181</f>
        <v>27140</v>
      </c>
      <c r="G169" s="21">
        <f>+D169-28729</f>
        <v>31299</v>
      </c>
      <c r="H169" s="23">
        <f t="shared" si="51"/>
        <v>-0.13287964471708361</v>
      </c>
      <c r="I169" s="24">
        <f t="shared" si="52"/>
        <v>47.169692241330807</v>
      </c>
      <c r="J169" s="24">
        <f t="shared" si="53"/>
        <v>92.672629329403094</v>
      </c>
      <c r="K169" s="21">
        <v>2515135.16</v>
      </c>
      <c r="L169" s="21">
        <v>2925928.43</v>
      </c>
      <c r="M169" s="25">
        <f t="shared" si="54"/>
        <v>-0.14039757971797007</v>
      </c>
      <c r="N169" s="10"/>
      <c r="R169" s="2"/>
    </row>
    <row r="170" spans="1:18" ht="15" customHeight="1" x14ac:dyDescent="0.25">
      <c r="A170" s="19"/>
      <c r="B170" s="20">
        <f>DATE(2019,6,1)</f>
        <v>43617</v>
      </c>
      <c r="C170" s="21">
        <v>56097</v>
      </c>
      <c r="D170" s="21">
        <v>62196</v>
      </c>
      <c r="E170" s="23">
        <f t="shared" si="50"/>
        <v>-9.8060968551032218E-2</v>
      </c>
      <c r="F170" s="21">
        <f>+C170-27200</f>
        <v>28897</v>
      </c>
      <c r="G170" s="21">
        <f>+D170-29603</f>
        <v>32593</v>
      </c>
      <c r="H170" s="23">
        <f t="shared" si="51"/>
        <v>-0.11339858251771853</v>
      </c>
      <c r="I170" s="24">
        <f t="shared" si="52"/>
        <v>45.880957805230224</v>
      </c>
      <c r="J170" s="24">
        <f t="shared" si="53"/>
        <v>89.067518773575102</v>
      </c>
      <c r="K170" s="21">
        <v>2573784.09</v>
      </c>
      <c r="L170" s="21">
        <v>2881544.79</v>
      </c>
      <c r="M170" s="25">
        <f t="shared" si="54"/>
        <v>-0.10680406602321117</v>
      </c>
      <c r="N170" s="10"/>
      <c r="R170" s="2"/>
    </row>
    <row r="171" spans="1:18" ht="15.75" thickBot="1" x14ac:dyDescent="0.25">
      <c r="A171" s="38"/>
      <c r="B171" s="20"/>
      <c r="C171" s="21"/>
      <c r="D171" s="21"/>
      <c r="E171" s="23"/>
      <c r="F171" s="21"/>
      <c r="G171" s="21"/>
      <c r="H171" s="23"/>
      <c r="I171" s="24"/>
      <c r="J171" s="24"/>
      <c r="K171" s="21"/>
      <c r="L171" s="21"/>
      <c r="M171" s="25"/>
      <c r="N171" s="10"/>
      <c r="R171" s="2"/>
    </row>
    <row r="172" spans="1:18" ht="17.25" thickTop="1" thickBot="1" x14ac:dyDescent="0.3">
      <c r="A172" s="62" t="s">
        <v>14</v>
      </c>
      <c r="B172" s="52"/>
      <c r="C172" s="48">
        <f>SUM(C159:C171)</f>
        <v>658703</v>
      </c>
      <c r="D172" s="48">
        <f>SUM(D159:D171)</f>
        <v>704901</v>
      </c>
      <c r="E172" s="280">
        <f>(+C172-D172)/D172</f>
        <v>-6.5538281262191425E-2</v>
      </c>
      <c r="F172" s="48">
        <f>SUM(F159:F171)</f>
        <v>334725</v>
      </c>
      <c r="G172" s="48">
        <f>SUM(G159:G171)</f>
        <v>365985</v>
      </c>
      <c r="H172" s="42">
        <f>(+F172-G172)/G172</f>
        <v>-8.5413336612156235E-2</v>
      </c>
      <c r="I172" s="50">
        <f>K172/C172</f>
        <v>46.993019615820785</v>
      </c>
      <c r="J172" s="50">
        <f>K172/F172</f>
        <v>92.477236537456122</v>
      </c>
      <c r="K172" s="48">
        <f>SUM(K159:K171)</f>
        <v>30954443</v>
      </c>
      <c r="L172" s="48">
        <f>SUM(L159:L171)</f>
        <v>33588861.239999995</v>
      </c>
      <c r="M172" s="44">
        <f>(+K172-L172)/L172</f>
        <v>-7.8431305580039815E-2</v>
      </c>
      <c r="N172" s="10"/>
      <c r="R172" s="2"/>
    </row>
    <row r="173" spans="1:18" ht="15.75" customHeight="1" thickTop="1" x14ac:dyDescent="0.25">
      <c r="A173" s="19"/>
      <c r="B173" s="45"/>
      <c r="C173" s="21"/>
      <c r="D173" s="21"/>
      <c r="E173" s="23"/>
      <c r="F173" s="21"/>
      <c r="G173" s="21"/>
      <c r="H173" s="23"/>
      <c r="I173" s="24"/>
      <c r="J173" s="24"/>
      <c r="K173" s="21"/>
      <c r="L173" s="21"/>
      <c r="M173" s="25"/>
      <c r="N173" s="10"/>
      <c r="R173" s="2"/>
    </row>
    <row r="174" spans="1:18" ht="15.75" x14ac:dyDescent="0.25">
      <c r="A174" s="19" t="s">
        <v>19</v>
      </c>
      <c r="B174" s="20">
        <f>DATE(2018,7,1)</f>
        <v>43282</v>
      </c>
      <c r="C174" s="21">
        <v>470294</v>
      </c>
      <c r="D174" s="21">
        <v>504566</v>
      </c>
      <c r="E174" s="23">
        <f t="shared" ref="E174:E185" si="55">(+C174-D174)/D174</f>
        <v>-6.792372058363029E-2</v>
      </c>
      <c r="F174" s="21">
        <f>+C174-224781</f>
        <v>245513</v>
      </c>
      <c r="G174" s="21">
        <f>+D174-244721</f>
        <v>259845</v>
      </c>
      <c r="H174" s="23">
        <f t="shared" ref="H174:H185" si="56">(+F174-G174)/G174</f>
        <v>-5.5155958359791417E-2</v>
      </c>
      <c r="I174" s="24">
        <f t="shared" ref="I174:I185" si="57">K174/C174</f>
        <v>49.797692039447668</v>
      </c>
      <c r="J174" s="24">
        <f t="shared" ref="J174:J185" si="58">K174/F174</f>
        <v>95.390288009188922</v>
      </c>
      <c r="K174" s="21">
        <v>23419555.780000001</v>
      </c>
      <c r="L174" s="21">
        <v>23735238.920000002</v>
      </c>
      <c r="M174" s="25">
        <f t="shared" ref="M174:M185" si="59">(+K174-L174)/L174</f>
        <v>-1.3300188005859795E-2</v>
      </c>
      <c r="N174" s="10"/>
      <c r="R174" s="2"/>
    </row>
    <row r="175" spans="1:18" ht="15.75" x14ac:dyDescent="0.25">
      <c r="A175" s="19"/>
      <c r="B175" s="20">
        <f>DATE(2018,8,1)</f>
        <v>43313</v>
      </c>
      <c r="C175" s="21">
        <v>474770</v>
      </c>
      <c r="D175" s="21">
        <v>457218</v>
      </c>
      <c r="E175" s="23">
        <f t="shared" si="55"/>
        <v>3.8388689859104409E-2</v>
      </c>
      <c r="F175" s="21">
        <f>+C175-232249</f>
        <v>242521</v>
      </c>
      <c r="G175" s="21">
        <f>+D175-220228</f>
        <v>236990</v>
      </c>
      <c r="H175" s="23">
        <f t="shared" si="56"/>
        <v>2.3338537491033377E-2</v>
      </c>
      <c r="I175" s="24">
        <f t="shared" si="57"/>
        <v>50.1026419318828</v>
      </c>
      <c r="J175" s="24">
        <f t="shared" si="58"/>
        <v>98.083181703852446</v>
      </c>
      <c r="K175" s="21">
        <v>23787231.309999999</v>
      </c>
      <c r="L175" s="21">
        <v>21406025.879999999</v>
      </c>
      <c r="M175" s="25">
        <f t="shared" si="59"/>
        <v>0.11123995847472085</v>
      </c>
      <c r="N175" s="10"/>
      <c r="R175" s="2"/>
    </row>
    <row r="176" spans="1:18" ht="15.75" x14ac:dyDescent="0.25">
      <c r="A176" s="19"/>
      <c r="B176" s="20">
        <f>DATE(2018,9,1)</f>
        <v>43344</v>
      </c>
      <c r="C176" s="21">
        <v>439040</v>
      </c>
      <c r="D176" s="21">
        <v>469781</v>
      </c>
      <c r="E176" s="23">
        <f t="shared" si="55"/>
        <v>-6.5436873777355825E-2</v>
      </c>
      <c r="F176" s="21">
        <f>+C176-213778</f>
        <v>225262</v>
      </c>
      <c r="G176" s="21">
        <f>+D176-233419</f>
        <v>236362</v>
      </c>
      <c r="H176" s="23">
        <f t="shared" si="56"/>
        <v>-4.6961863582132495E-2</v>
      </c>
      <c r="I176" s="24">
        <f t="shared" si="57"/>
        <v>49.367473442055392</v>
      </c>
      <c r="J176" s="24">
        <f t="shared" si="58"/>
        <v>96.218161696158248</v>
      </c>
      <c r="K176" s="21">
        <v>21674295.539999999</v>
      </c>
      <c r="L176" s="21">
        <v>22005324.359999999</v>
      </c>
      <c r="M176" s="25">
        <f t="shared" si="59"/>
        <v>-1.5043123863319427E-2</v>
      </c>
      <c r="N176" s="10"/>
      <c r="R176" s="2"/>
    </row>
    <row r="177" spans="1:18" ht="15.75" x14ac:dyDescent="0.25">
      <c r="A177" s="19"/>
      <c r="B177" s="20">
        <f>DATE(2018,10,1)</f>
        <v>43374</v>
      </c>
      <c r="C177" s="21">
        <v>422287</v>
      </c>
      <c r="D177" s="21">
        <v>443959</v>
      </c>
      <c r="E177" s="23">
        <f t="shared" si="55"/>
        <v>-4.8815318531666214E-2</v>
      </c>
      <c r="F177" s="21">
        <f>+C177-199383</f>
        <v>222904</v>
      </c>
      <c r="G177" s="21">
        <f>+D177-215005</f>
        <v>228954</v>
      </c>
      <c r="H177" s="23">
        <f t="shared" si="56"/>
        <v>-2.6424521956375516E-2</v>
      </c>
      <c r="I177" s="24">
        <f t="shared" si="57"/>
        <v>49.147177322531832</v>
      </c>
      <c r="J177" s="24">
        <f t="shared" si="58"/>
        <v>93.108307029034918</v>
      </c>
      <c r="K177" s="21">
        <v>20754214.07</v>
      </c>
      <c r="L177" s="21">
        <v>21053075.300000001</v>
      </c>
      <c r="M177" s="25">
        <f t="shared" si="59"/>
        <v>-1.419560922769323E-2</v>
      </c>
      <c r="N177" s="10"/>
      <c r="R177" s="2"/>
    </row>
    <row r="178" spans="1:18" ht="15.75" x14ac:dyDescent="0.25">
      <c r="A178" s="19"/>
      <c r="B178" s="20">
        <f>DATE(2018,11,1)</f>
        <v>43405</v>
      </c>
      <c r="C178" s="21">
        <v>425527</v>
      </c>
      <c r="D178" s="21">
        <v>438651</v>
      </c>
      <c r="E178" s="23">
        <f t="shared" si="55"/>
        <v>-2.9919001666472891E-2</v>
      </c>
      <c r="F178" s="21">
        <f>+C178-204971</f>
        <v>220556</v>
      </c>
      <c r="G178" s="21">
        <f>+D178-216495</f>
        <v>222156</v>
      </c>
      <c r="H178" s="23">
        <f t="shared" si="56"/>
        <v>-7.2021462395793949E-3</v>
      </c>
      <c r="I178" s="24">
        <f t="shared" si="57"/>
        <v>50.26108846207174</v>
      </c>
      <c r="J178" s="24">
        <f t="shared" si="58"/>
        <v>96.970611500027204</v>
      </c>
      <c r="K178" s="21">
        <v>21387450.190000001</v>
      </c>
      <c r="L178" s="21">
        <v>20908979.129999999</v>
      </c>
      <c r="M178" s="25">
        <f t="shared" si="59"/>
        <v>2.2883520856046807E-2</v>
      </c>
      <c r="N178" s="10"/>
      <c r="R178" s="2"/>
    </row>
    <row r="179" spans="1:18" ht="15.75" x14ac:dyDescent="0.25">
      <c r="A179" s="19"/>
      <c r="B179" s="20">
        <f>DATE(2018,12,1)</f>
        <v>43435</v>
      </c>
      <c r="C179" s="21">
        <v>480889</v>
      </c>
      <c r="D179" s="21">
        <v>489188</v>
      </c>
      <c r="E179" s="23">
        <f t="shared" si="55"/>
        <v>-1.6964847870348413E-2</v>
      </c>
      <c r="F179" s="21">
        <f>+C179-230072</f>
        <v>250817</v>
      </c>
      <c r="G179" s="21">
        <f>+D179-242094</f>
        <v>247094</v>
      </c>
      <c r="H179" s="23">
        <f t="shared" si="56"/>
        <v>1.5067140440480142E-2</v>
      </c>
      <c r="I179" s="24">
        <f t="shared" si="57"/>
        <v>47.909385949772194</v>
      </c>
      <c r="J179" s="24">
        <f t="shared" si="58"/>
        <v>91.856200735994761</v>
      </c>
      <c r="K179" s="21">
        <v>23039096.699999999</v>
      </c>
      <c r="L179" s="21">
        <v>22430640.239999998</v>
      </c>
      <c r="M179" s="25">
        <f t="shared" si="59"/>
        <v>2.7126129860304021E-2</v>
      </c>
      <c r="N179" s="10"/>
      <c r="R179" s="2"/>
    </row>
    <row r="180" spans="1:18" ht="15.75" x14ac:dyDescent="0.25">
      <c r="A180" s="19"/>
      <c r="B180" s="20">
        <f>DATE(2019,1,1)</f>
        <v>43466</v>
      </c>
      <c r="C180" s="21">
        <v>389075</v>
      </c>
      <c r="D180" s="21">
        <v>417488</v>
      </c>
      <c r="E180" s="23">
        <f t="shared" si="55"/>
        <v>-6.8057045951021342E-2</v>
      </c>
      <c r="F180" s="21">
        <f>+C180-191824</f>
        <v>197251</v>
      </c>
      <c r="G180" s="21">
        <f>+D180-207200</f>
        <v>210288</v>
      </c>
      <c r="H180" s="23">
        <f t="shared" si="56"/>
        <v>-6.1995929392071825E-2</v>
      </c>
      <c r="I180" s="24">
        <f t="shared" si="57"/>
        <v>48.973892771316578</v>
      </c>
      <c r="J180" s="24">
        <f t="shared" si="58"/>
        <v>96.60035857866373</v>
      </c>
      <c r="K180" s="21">
        <v>19054517.329999998</v>
      </c>
      <c r="L180" s="21">
        <v>20053049.41</v>
      </c>
      <c r="M180" s="25">
        <f t="shared" si="59"/>
        <v>-4.9794525490076173E-2</v>
      </c>
      <c r="N180" s="10"/>
      <c r="R180" s="2"/>
    </row>
    <row r="181" spans="1:18" ht="15.75" x14ac:dyDescent="0.25">
      <c r="A181" s="19"/>
      <c r="B181" s="20">
        <f>DATE(2019,2,1)</f>
        <v>43497</v>
      </c>
      <c r="C181" s="21">
        <v>399765</v>
      </c>
      <c r="D181" s="21">
        <v>430711</v>
      </c>
      <c r="E181" s="23">
        <f t="shared" si="55"/>
        <v>-7.1848640968073724E-2</v>
      </c>
      <c r="F181" s="21">
        <f>+C181-193480</f>
        <v>206285</v>
      </c>
      <c r="G181" s="21">
        <f>+D181-217330</f>
        <v>213381</v>
      </c>
      <c r="H181" s="23">
        <f t="shared" si="56"/>
        <v>-3.3255069570392863E-2</v>
      </c>
      <c r="I181" s="24">
        <f t="shared" si="57"/>
        <v>52.260842770127446</v>
      </c>
      <c r="J181" s="24">
        <f t="shared" si="58"/>
        <v>101.27762954165352</v>
      </c>
      <c r="K181" s="21">
        <v>20892055.809999999</v>
      </c>
      <c r="L181" s="21">
        <v>20534276.93</v>
      </c>
      <c r="M181" s="25">
        <f t="shared" si="59"/>
        <v>1.7423495417912382E-2</v>
      </c>
      <c r="N181" s="10"/>
      <c r="R181" s="2"/>
    </row>
    <row r="182" spans="1:18" ht="15.75" x14ac:dyDescent="0.25">
      <c r="A182" s="19"/>
      <c r="B182" s="20">
        <f>DATE(2019,3,1)</f>
        <v>43525</v>
      </c>
      <c r="C182" s="21">
        <v>489112</v>
      </c>
      <c r="D182" s="21">
        <v>521467</v>
      </c>
      <c r="E182" s="23">
        <f t="shared" si="55"/>
        <v>-6.2046112218031052E-2</v>
      </c>
      <c r="F182" s="21">
        <f>+C182-235747</f>
        <v>253365</v>
      </c>
      <c r="G182" s="21">
        <f>+D182-260794</f>
        <v>260673</v>
      </c>
      <c r="H182" s="23">
        <f t="shared" si="56"/>
        <v>-2.8035124466285345E-2</v>
      </c>
      <c r="I182" s="24">
        <f t="shared" si="57"/>
        <v>50.781532266638315</v>
      </c>
      <c r="J182" s="24">
        <f t="shared" si="58"/>
        <v>98.031917628717451</v>
      </c>
      <c r="K182" s="21">
        <v>24837856.809999999</v>
      </c>
      <c r="L182" s="21">
        <v>25571186.27</v>
      </c>
      <c r="M182" s="25">
        <f t="shared" si="59"/>
        <v>-2.8677960117178439E-2</v>
      </c>
      <c r="N182" s="10"/>
      <c r="R182" s="2"/>
    </row>
    <row r="183" spans="1:18" ht="15.75" x14ac:dyDescent="0.25">
      <c r="A183" s="19"/>
      <c r="B183" s="20">
        <f>DATE(2019,4,1)</f>
        <v>43556</v>
      </c>
      <c r="C183" s="21">
        <v>420619</v>
      </c>
      <c r="D183" s="21">
        <v>465006</v>
      </c>
      <c r="E183" s="23">
        <f t="shared" si="55"/>
        <v>-9.5454682305174551E-2</v>
      </c>
      <c r="F183" s="21">
        <f>+C183-198935</f>
        <v>221684</v>
      </c>
      <c r="G183" s="21">
        <f>+D183-234252</f>
        <v>230754</v>
      </c>
      <c r="H183" s="23">
        <f t="shared" si="56"/>
        <v>-3.9305927524549956E-2</v>
      </c>
      <c r="I183" s="24">
        <f t="shared" si="57"/>
        <v>53.584768281984402</v>
      </c>
      <c r="J183" s="24">
        <f t="shared" si="58"/>
        <v>101.67071890619079</v>
      </c>
      <c r="K183" s="21">
        <v>22538771.649999999</v>
      </c>
      <c r="L183" s="21">
        <v>22440610.23</v>
      </c>
      <c r="M183" s="25">
        <f t="shared" si="59"/>
        <v>4.374275877256216E-3</v>
      </c>
      <c r="N183" s="10"/>
      <c r="R183" s="2"/>
    </row>
    <row r="184" spans="1:18" ht="15.75" x14ac:dyDescent="0.25">
      <c r="A184" s="19"/>
      <c r="B184" s="20">
        <f>DATE(2019,5,1)</f>
        <v>43586</v>
      </c>
      <c r="C184" s="21">
        <v>457426</v>
      </c>
      <c r="D184" s="21">
        <v>440614</v>
      </c>
      <c r="E184" s="23">
        <f t="shared" si="55"/>
        <v>3.8155846160131089E-2</v>
      </c>
      <c r="F184" s="21">
        <f>+C184-216873</f>
        <v>240553</v>
      </c>
      <c r="G184" s="21">
        <f>+D184-216248</f>
        <v>224366</v>
      </c>
      <c r="H184" s="23">
        <f t="shared" si="56"/>
        <v>7.2145512243388041E-2</v>
      </c>
      <c r="I184" s="24">
        <f t="shared" si="57"/>
        <v>51.497009614669913</v>
      </c>
      <c r="J184" s="24">
        <f t="shared" si="58"/>
        <v>97.924661592247872</v>
      </c>
      <c r="K184" s="21">
        <v>23556071.120000001</v>
      </c>
      <c r="L184" s="21">
        <v>22273039.91</v>
      </c>
      <c r="M184" s="25">
        <f t="shared" si="59"/>
        <v>5.7604674314077536E-2</v>
      </c>
      <c r="N184" s="10"/>
      <c r="R184" s="2"/>
    </row>
    <row r="185" spans="1:18" ht="15.75" x14ac:dyDescent="0.25">
      <c r="A185" s="19"/>
      <c r="B185" s="20">
        <f>DATE(2019,6,1)</f>
        <v>43617</v>
      </c>
      <c r="C185" s="21">
        <v>440859</v>
      </c>
      <c r="D185" s="21">
        <v>454381</v>
      </c>
      <c r="E185" s="23">
        <f t="shared" si="55"/>
        <v>-2.9759166866572324E-2</v>
      </c>
      <c r="F185" s="21">
        <f>+C185-208624</f>
        <v>232235</v>
      </c>
      <c r="G185" s="21">
        <f>+D185-221715</f>
        <v>232666</v>
      </c>
      <c r="H185" s="23">
        <f t="shared" si="56"/>
        <v>-1.8524408379393636E-3</v>
      </c>
      <c r="I185" s="24">
        <f t="shared" si="57"/>
        <v>53.946564774678528</v>
      </c>
      <c r="J185" s="24">
        <f t="shared" si="58"/>
        <v>102.40845953452323</v>
      </c>
      <c r="K185" s="21">
        <v>23782828.600000001</v>
      </c>
      <c r="L185" s="21">
        <v>22234402.68</v>
      </c>
      <c r="M185" s="25">
        <f t="shared" si="59"/>
        <v>6.9640994736180684E-2</v>
      </c>
      <c r="N185" s="10"/>
      <c r="R185" s="2"/>
    </row>
    <row r="186" spans="1:18" ht="15.75" thickBot="1" x14ac:dyDescent="0.25">
      <c r="A186" s="38"/>
      <c r="B186" s="45"/>
      <c r="C186" s="21"/>
      <c r="D186" s="21"/>
      <c r="E186" s="23"/>
      <c r="F186" s="21"/>
      <c r="G186" s="21"/>
      <c r="H186" s="23"/>
      <c r="I186" s="24"/>
      <c r="J186" s="24"/>
      <c r="K186" s="21"/>
      <c r="L186" s="21"/>
      <c r="M186" s="25"/>
      <c r="N186" s="10"/>
      <c r="R186" s="2"/>
    </row>
    <row r="187" spans="1:18" ht="17.25" thickTop="1" thickBot="1" x14ac:dyDescent="0.3">
      <c r="A187" s="39" t="s">
        <v>14</v>
      </c>
      <c r="B187" s="40"/>
      <c r="C187" s="41">
        <f>SUM(C174:C186)</f>
        <v>5309663</v>
      </c>
      <c r="D187" s="41">
        <f>SUM(D174:D186)</f>
        <v>5533030</v>
      </c>
      <c r="E187" s="280">
        <f>(+C187-D187)/D187</f>
        <v>-4.0369743160619045E-2</v>
      </c>
      <c r="F187" s="41">
        <f>SUM(F174:F186)</f>
        <v>2758946</v>
      </c>
      <c r="G187" s="41">
        <f>SUM(G174:G186)</f>
        <v>2803529</v>
      </c>
      <c r="H187" s="42">
        <f>(+F187-G187)/G187</f>
        <v>-1.5902457224448188E-2</v>
      </c>
      <c r="I187" s="43">
        <f>K187/C187</f>
        <v>50.610357928554038</v>
      </c>
      <c r="J187" s="43">
        <f>K187/F187</f>
        <v>97.400944023551034</v>
      </c>
      <c r="K187" s="41">
        <f>SUM(K174:K186)</f>
        <v>268723944.91000003</v>
      </c>
      <c r="L187" s="41">
        <f>SUM(L174:L186)</f>
        <v>264645849.25999999</v>
      </c>
      <c r="M187" s="44">
        <f>(+K187-L187)/L187</f>
        <v>1.5409633899050996E-2</v>
      </c>
      <c r="N187" s="10"/>
      <c r="R187" s="2"/>
    </row>
    <row r="188" spans="1:18" ht="15.75" customHeight="1" thickTop="1" x14ac:dyDescent="0.25">
      <c r="A188" s="19"/>
      <c r="B188" s="45"/>
      <c r="C188" s="21"/>
      <c r="D188" s="21"/>
      <c r="E188" s="23"/>
      <c r="F188" s="21"/>
      <c r="G188" s="21"/>
      <c r="H188" s="23"/>
      <c r="I188" s="24"/>
      <c r="J188" s="24"/>
      <c r="K188" s="21"/>
      <c r="L188" s="21"/>
      <c r="M188" s="25"/>
      <c r="N188" s="10"/>
      <c r="R188" s="2"/>
    </row>
    <row r="189" spans="1:18" ht="15.75" x14ac:dyDescent="0.25">
      <c r="A189" s="19" t="s">
        <v>63</v>
      </c>
      <c r="B189" s="20">
        <f>DATE(2018,7,1)</f>
        <v>43282</v>
      </c>
      <c r="C189" s="21">
        <v>83462</v>
      </c>
      <c r="D189" s="21">
        <v>79906</v>
      </c>
      <c r="E189" s="23">
        <f t="shared" ref="E189:E200" si="60">(+C189-D189)/D189</f>
        <v>4.4502290190974396E-2</v>
      </c>
      <c r="F189" s="21">
        <f>+C189-37670</f>
        <v>45792</v>
      </c>
      <c r="G189" s="21">
        <f>+D189-36860</f>
        <v>43046</v>
      </c>
      <c r="H189" s="23">
        <f t="shared" ref="H189:H200" si="61">(+F189-G189)/G189</f>
        <v>6.379222227384658E-2</v>
      </c>
      <c r="I189" s="24">
        <f t="shared" ref="I189:I200" si="62">K189/C189</f>
        <v>43.092575064101027</v>
      </c>
      <c r="J189" s="24">
        <f t="shared" ref="J189:J200" si="63">K189/F189</f>
        <v>78.541939640111806</v>
      </c>
      <c r="K189" s="21">
        <v>3596592.5</v>
      </c>
      <c r="L189" s="21">
        <v>3314806.15</v>
      </c>
      <c r="M189" s="25">
        <f t="shared" ref="M189:M200" si="64">(+K189-L189)/L189</f>
        <v>8.5008394834793014E-2</v>
      </c>
      <c r="N189" s="10"/>
      <c r="R189" s="2"/>
    </row>
    <row r="190" spans="1:18" ht="15.75" x14ac:dyDescent="0.25">
      <c r="A190" s="19"/>
      <c r="B190" s="20">
        <f>DATE(2018,8,1)</f>
        <v>43313</v>
      </c>
      <c r="C190" s="21">
        <v>82775</v>
      </c>
      <c r="D190" s="21">
        <v>79783</v>
      </c>
      <c r="E190" s="23">
        <f t="shared" si="60"/>
        <v>3.7501723424789739E-2</v>
      </c>
      <c r="F190" s="21">
        <f>+C190-37255</f>
        <v>45520</v>
      </c>
      <c r="G190" s="21">
        <f>+D190-35821</f>
        <v>43962</v>
      </c>
      <c r="H190" s="23">
        <f t="shared" si="61"/>
        <v>3.5439697920931712E-2</v>
      </c>
      <c r="I190" s="24">
        <f t="shared" si="62"/>
        <v>43.964893868921777</v>
      </c>
      <c r="J190" s="24">
        <f t="shared" si="63"/>
        <v>79.947146089630934</v>
      </c>
      <c r="K190" s="21">
        <v>3639194.09</v>
      </c>
      <c r="L190" s="21">
        <v>3234719.93</v>
      </c>
      <c r="M190" s="25">
        <f t="shared" si="64"/>
        <v>0.12504147770221322</v>
      </c>
      <c r="N190" s="10"/>
      <c r="R190" s="2"/>
    </row>
    <row r="191" spans="1:18" ht="15.75" x14ac:dyDescent="0.25">
      <c r="A191" s="19"/>
      <c r="B191" s="20">
        <f>DATE(2018,9,1)</f>
        <v>43344</v>
      </c>
      <c r="C191" s="21">
        <v>77092</v>
      </c>
      <c r="D191" s="21">
        <v>84353</v>
      </c>
      <c r="E191" s="23">
        <f t="shared" si="60"/>
        <v>-8.6078740530864339E-2</v>
      </c>
      <c r="F191" s="21">
        <f>+C191-35421</f>
        <v>41671</v>
      </c>
      <c r="G191" s="21">
        <f>+D191-38205</f>
        <v>46148</v>
      </c>
      <c r="H191" s="23">
        <f t="shared" si="61"/>
        <v>-9.701395510097946E-2</v>
      </c>
      <c r="I191" s="24">
        <f t="shared" si="62"/>
        <v>44.389417838426816</v>
      </c>
      <c r="J191" s="24">
        <f t="shared" si="63"/>
        <v>82.12111540399799</v>
      </c>
      <c r="K191" s="21">
        <v>3422069</v>
      </c>
      <c r="L191" s="21">
        <v>3468398</v>
      </c>
      <c r="M191" s="25">
        <f t="shared" si="64"/>
        <v>-1.3357463589818701E-2</v>
      </c>
      <c r="N191" s="10"/>
      <c r="R191" s="2"/>
    </row>
    <row r="192" spans="1:18" ht="15.75" x14ac:dyDescent="0.25">
      <c r="A192" s="19"/>
      <c r="B192" s="20">
        <f>DATE(2018,10,1)</f>
        <v>43374</v>
      </c>
      <c r="C192" s="21">
        <v>82223</v>
      </c>
      <c r="D192" s="21">
        <v>80014</v>
      </c>
      <c r="E192" s="23">
        <f t="shared" si="60"/>
        <v>2.7607668657984853E-2</v>
      </c>
      <c r="F192" s="21">
        <f>+C192-37480</f>
        <v>44743</v>
      </c>
      <c r="G192" s="21">
        <f>+D192-36610</f>
        <v>43404</v>
      </c>
      <c r="H192" s="23">
        <f t="shared" si="61"/>
        <v>3.0849691272693762E-2</v>
      </c>
      <c r="I192" s="24">
        <f t="shared" si="62"/>
        <v>41.261118300232297</v>
      </c>
      <c r="J192" s="24">
        <f t="shared" si="63"/>
        <v>75.824440247636502</v>
      </c>
      <c r="K192" s="21">
        <v>3392612.93</v>
      </c>
      <c r="L192" s="21">
        <v>3370291.8</v>
      </c>
      <c r="M192" s="25">
        <f t="shared" si="64"/>
        <v>6.6229072509390299E-3</v>
      </c>
      <c r="N192" s="10"/>
      <c r="R192" s="2"/>
    </row>
    <row r="193" spans="1:18" ht="15.75" x14ac:dyDescent="0.25">
      <c r="A193" s="19"/>
      <c r="B193" s="20">
        <f>DATE(2018,11,1)</f>
        <v>43405</v>
      </c>
      <c r="C193" s="21">
        <v>76303</v>
      </c>
      <c r="D193" s="21">
        <v>81471</v>
      </c>
      <c r="E193" s="23">
        <f t="shared" si="60"/>
        <v>-6.3433614414945189E-2</v>
      </c>
      <c r="F193" s="21">
        <f>+C193-35181</f>
        <v>41122</v>
      </c>
      <c r="G193" s="21">
        <f>+D193-37675</f>
        <v>43796</v>
      </c>
      <c r="H193" s="23">
        <f t="shared" si="61"/>
        <v>-6.1055804183030415E-2</v>
      </c>
      <c r="I193" s="24">
        <f t="shared" si="62"/>
        <v>44.119836048386041</v>
      </c>
      <c r="J193" s="24">
        <f t="shared" si="63"/>
        <v>81.865567093040227</v>
      </c>
      <c r="K193" s="21">
        <v>3366475.85</v>
      </c>
      <c r="L193" s="21">
        <v>3424537.07</v>
      </c>
      <c r="M193" s="25">
        <f t="shared" si="64"/>
        <v>-1.6954472623068945E-2</v>
      </c>
      <c r="N193" s="10"/>
      <c r="R193" s="2"/>
    </row>
    <row r="194" spans="1:18" ht="15.75" x14ac:dyDescent="0.25">
      <c r="A194" s="19"/>
      <c r="B194" s="20">
        <f>DATE(2018,12,1)</f>
        <v>43435</v>
      </c>
      <c r="C194" s="21">
        <v>85578</v>
      </c>
      <c r="D194" s="21">
        <v>87056</v>
      </c>
      <c r="E194" s="23">
        <f t="shared" si="60"/>
        <v>-1.6977577651167065E-2</v>
      </c>
      <c r="F194" s="21">
        <f>+C194-40324</f>
        <v>45254</v>
      </c>
      <c r="G194" s="21">
        <f>+D194-40605</f>
        <v>46451</v>
      </c>
      <c r="H194" s="23">
        <f t="shared" si="61"/>
        <v>-2.5769090008826507E-2</v>
      </c>
      <c r="I194" s="24">
        <f t="shared" si="62"/>
        <v>43.983009184603517</v>
      </c>
      <c r="J194" s="24">
        <f t="shared" si="63"/>
        <v>83.174480929862554</v>
      </c>
      <c r="K194" s="21">
        <v>3763977.96</v>
      </c>
      <c r="L194" s="21">
        <v>3766957.15</v>
      </c>
      <c r="M194" s="25">
        <f t="shared" si="64"/>
        <v>-7.9087440641578417E-4</v>
      </c>
      <c r="N194" s="10"/>
      <c r="R194" s="2"/>
    </row>
    <row r="195" spans="1:18" ht="15.75" x14ac:dyDescent="0.25">
      <c r="A195" s="19"/>
      <c r="B195" s="20">
        <f>DATE(2019,1,1)</f>
        <v>43466</v>
      </c>
      <c r="C195" s="21">
        <v>73768</v>
      </c>
      <c r="D195" s="21">
        <v>80564</v>
      </c>
      <c r="E195" s="23">
        <f t="shared" si="60"/>
        <v>-8.4355295169058139E-2</v>
      </c>
      <c r="F195" s="21">
        <f>+C195-34302</f>
        <v>39466</v>
      </c>
      <c r="G195" s="21">
        <f>+D195-37104</f>
        <v>43460</v>
      </c>
      <c r="H195" s="23">
        <f t="shared" si="61"/>
        <v>-9.1900598251265536E-2</v>
      </c>
      <c r="I195" s="24">
        <f t="shared" si="62"/>
        <v>45.209043623251276</v>
      </c>
      <c r="J195" s="24">
        <f t="shared" si="63"/>
        <v>84.502628338316526</v>
      </c>
      <c r="K195" s="21">
        <v>3334980.73</v>
      </c>
      <c r="L195" s="21">
        <v>3247765.74</v>
      </c>
      <c r="M195" s="25">
        <f t="shared" si="64"/>
        <v>2.6853842605039535E-2</v>
      </c>
      <c r="N195" s="10"/>
      <c r="R195" s="2"/>
    </row>
    <row r="196" spans="1:18" ht="15.75" x14ac:dyDescent="0.25">
      <c r="A196" s="19"/>
      <c r="B196" s="20">
        <f>DATE(2019,2,1)</f>
        <v>43497</v>
      </c>
      <c r="C196" s="21">
        <v>79948</v>
      </c>
      <c r="D196" s="21">
        <v>82056</v>
      </c>
      <c r="E196" s="23">
        <f t="shared" si="60"/>
        <v>-2.5689772838061811E-2</v>
      </c>
      <c r="F196" s="21">
        <f>+C196-38167</f>
        <v>41781</v>
      </c>
      <c r="G196" s="21">
        <f>+D196-38030</f>
        <v>44026</v>
      </c>
      <c r="H196" s="23">
        <f t="shared" si="61"/>
        <v>-5.099259528460455E-2</v>
      </c>
      <c r="I196" s="24">
        <f t="shared" si="62"/>
        <v>44.524138690148597</v>
      </c>
      <c r="J196" s="24">
        <f t="shared" si="63"/>
        <v>85.196999593116487</v>
      </c>
      <c r="K196" s="21">
        <v>3559615.84</v>
      </c>
      <c r="L196" s="21">
        <v>3559309.69</v>
      </c>
      <c r="M196" s="25">
        <f t="shared" si="64"/>
        <v>8.6013869728741383E-5</v>
      </c>
      <c r="N196" s="10"/>
      <c r="R196" s="2"/>
    </row>
    <row r="197" spans="1:18" ht="15.75" x14ac:dyDescent="0.25">
      <c r="A197" s="19"/>
      <c r="B197" s="20">
        <f>DATE(2019,3,1)</f>
        <v>43525</v>
      </c>
      <c r="C197" s="21">
        <v>51590</v>
      </c>
      <c r="D197" s="21">
        <v>100462</v>
      </c>
      <c r="E197" s="23">
        <f t="shared" si="60"/>
        <v>-0.48647249706356632</v>
      </c>
      <c r="F197" s="21">
        <f>+C197-24047</f>
        <v>27543</v>
      </c>
      <c r="G197" s="21">
        <f>+D197-46682</f>
        <v>53780</v>
      </c>
      <c r="H197" s="23">
        <f t="shared" si="61"/>
        <v>-0.4878579397545556</v>
      </c>
      <c r="I197" s="24">
        <f t="shared" si="62"/>
        <v>44.124725140531105</v>
      </c>
      <c r="J197" s="24">
        <f t="shared" si="63"/>
        <v>82.648751769959688</v>
      </c>
      <c r="K197" s="21">
        <v>2276394.5699999998</v>
      </c>
      <c r="L197" s="21">
        <v>4392174.67</v>
      </c>
      <c r="M197" s="25">
        <f t="shared" si="64"/>
        <v>-0.4817158375898562</v>
      </c>
      <c r="N197" s="10"/>
      <c r="R197" s="2"/>
    </row>
    <row r="198" spans="1:18" ht="15.75" x14ac:dyDescent="0.25">
      <c r="A198" s="19"/>
      <c r="B198" s="20">
        <f>DATE(2019,4,1)</f>
        <v>43556</v>
      </c>
      <c r="C198" s="21">
        <v>23917</v>
      </c>
      <c r="D198" s="21">
        <v>88416</v>
      </c>
      <c r="E198" s="23">
        <f t="shared" si="60"/>
        <v>-0.72949466159971044</v>
      </c>
      <c r="F198" s="21">
        <f>+C198-11625</f>
        <v>12292</v>
      </c>
      <c r="G198" s="21">
        <f>+D198-40698</f>
        <v>47718</v>
      </c>
      <c r="H198" s="23">
        <f t="shared" si="61"/>
        <v>-0.74240328597175065</v>
      </c>
      <c r="I198" s="24">
        <f t="shared" si="62"/>
        <v>52.802833131245563</v>
      </c>
      <c r="J198" s="24">
        <f t="shared" si="63"/>
        <v>102.74042954767329</v>
      </c>
      <c r="K198" s="21">
        <v>1262885.3600000001</v>
      </c>
      <c r="L198" s="21">
        <v>3832569.22</v>
      </c>
      <c r="M198" s="25">
        <f t="shared" si="64"/>
        <v>-0.67048596189477305</v>
      </c>
      <c r="N198" s="10"/>
      <c r="R198" s="2"/>
    </row>
    <row r="199" spans="1:18" ht="15.75" x14ac:dyDescent="0.25">
      <c r="A199" s="19"/>
      <c r="B199" s="20">
        <f>DATE(2019,5,1)</f>
        <v>43586</v>
      </c>
      <c r="C199" s="21">
        <v>68420</v>
      </c>
      <c r="D199" s="21">
        <v>84886</v>
      </c>
      <c r="E199" s="23">
        <f t="shared" si="60"/>
        <v>-0.19397780552741323</v>
      </c>
      <c r="F199" s="21">
        <f>+C199-32728</f>
        <v>35692</v>
      </c>
      <c r="G199" s="21">
        <f>+D199-37859</f>
        <v>47027</v>
      </c>
      <c r="H199" s="23">
        <f t="shared" si="61"/>
        <v>-0.24103174771939523</v>
      </c>
      <c r="I199" s="24">
        <f t="shared" si="62"/>
        <v>47.173769365682546</v>
      </c>
      <c r="J199" s="24">
        <f t="shared" si="63"/>
        <v>90.430048750420255</v>
      </c>
      <c r="K199" s="21">
        <v>3227629.3</v>
      </c>
      <c r="L199" s="21">
        <v>3649884.92</v>
      </c>
      <c r="M199" s="25">
        <f t="shared" si="64"/>
        <v>-0.11569011879969085</v>
      </c>
      <c r="N199" s="10"/>
      <c r="R199" s="2"/>
    </row>
    <row r="200" spans="1:18" ht="15.75" x14ac:dyDescent="0.25">
      <c r="A200" s="19"/>
      <c r="B200" s="20">
        <f>DATE(2019,6,1)</f>
        <v>43617</v>
      </c>
      <c r="C200" s="21">
        <v>61340</v>
      </c>
      <c r="D200" s="21">
        <v>84346</v>
      </c>
      <c r="E200" s="23">
        <f t="shared" si="60"/>
        <v>-0.27275745144997987</v>
      </c>
      <c r="F200" s="21">
        <f>+C200-29567</f>
        <v>31773</v>
      </c>
      <c r="G200" s="21">
        <f>+D200-38178</f>
        <v>46168</v>
      </c>
      <c r="H200" s="23">
        <f t="shared" si="61"/>
        <v>-0.31179604921157511</v>
      </c>
      <c r="I200" s="24">
        <f t="shared" si="62"/>
        <v>46.943682914900549</v>
      </c>
      <c r="J200" s="24">
        <f t="shared" si="63"/>
        <v>90.628065023762304</v>
      </c>
      <c r="K200" s="21">
        <v>2879525.51</v>
      </c>
      <c r="L200" s="21">
        <v>3693748.08</v>
      </c>
      <c r="M200" s="25">
        <f t="shared" si="64"/>
        <v>-0.22043262084078033</v>
      </c>
      <c r="N200" s="10"/>
      <c r="R200" s="2"/>
    </row>
    <row r="201" spans="1:18" ht="15.75" thickBot="1" x14ac:dyDescent="0.25">
      <c r="A201" s="38"/>
      <c r="B201" s="45"/>
      <c r="C201" s="21"/>
      <c r="D201" s="21"/>
      <c r="E201" s="23"/>
      <c r="F201" s="21"/>
      <c r="G201" s="21"/>
      <c r="H201" s="23"/>
      <c r="I201" s="24"/>
      <c r="J201" s="24"/>
      <c r="K201" s="21"/>
      <c r="L201" s="21"/>
      <c r="M201" s="25"/>
      <c r="N201" s="10"/>
      <c r="R201" s="2"/>
    </row>
    <row r="202" spans="1:18" ht="17.25" thickTop="1" thickBot="1" x14ac:dyDescent="0.3">
      <c r="A202" s="26" t="s">
        <v>14</v>
      </c>
      <c r="B202" s="27"/>
      <c r="C202" s="28">
        <f>SUM(C189:C201)</f>
        <v>846416</v>
      </c>
      <c r="D202" s="28">
        <f>SUM(D189:D201)</f>
        <v>1013313</v>
      </c>
      <c r="E202" s="280">
        <f>(+C202-D202)/D202</f>
        <v>-0.16470429176374921</v>
      </c>
      <c r="F202" s="28">
        <f>SUM(F189:F201)</f>
        <v>452649</v>
      </c>
      <c r="G202" s="28">
        <f>SUM(G189:G201)</f>
        <v>548986</v>
      </c>
      <c r="H202" s="42">
        <f>(+F202-G202)/G202</f>
        <v>-0.17548170627301971</v>
      </c>
      <c r="I202" s="43">
        <f>K202/C202</f>
        <v>44.56668309672785</v>
      </c>
      <c r="J202" s="43">
        <f>K202/F202</f>
        <v>83.33599243563998</v>
      </c>
      <c r="K202" s="28">
        <f>SUM(K189:K201)</f>
        <v>37721953.640000001</v>
      </c>
      <c r="L202" s="28">
        <f>SUM(L189:L201)</f>
        <v>42955162.419999994</v>
      </c>
      <c r="M202" s="44">
        <f>(+K202-L202)/L202</f>
        <v>-0.12182956564874733</v>
      </c>
      <c r="N202" s="10"/>
      <c r="R202" s="2"/>
    </row>
    <row r="203" spans="1:18" ht="16.5" thickTop="1" thickBot="1" x14ac:dyDescent="0.25">
      <c r="A203" s="63"/>
      <c r="B203" s="34"/>
      <c r="C203" s="35"/>
      <c r="D203" s="35"/>
      <c r="E203" s="29"/>
      <c r="F203" s="35"/>
      <c r="G203" s="35"/>
      <c r="H203" s="29"/>
      <c r="I203" s="36"/>
      <c r="J203" s="36"/>
      <c r="K203" s="35"/>
      <c r="L203" s="35"/>
      <c r="M203" s="37"/>
      <c r="N203" s="10"/>
      <c r="R203" s="2"/>
    </row>
    <row r="204" spans="1:18" ht="17.25" thickTop="1" thickBot="1" x14ac:dyDescent="0.3">
      <c r="A204" s="64" t="s">
        <v>20</v>
      </c>
      <c r="B204" s="65"/>
      <c r="C204" s="28">
        <f>C202+C187+C82+C112+C127+C52+C22+C142+C157+C67+C172+C37+C97</f>
        <v>37500317</v>
      </c>
      <c r="D204" s="28">
        <f>D202+D187+D82+D112+D127+D52+D22+D142+D157+D67+D172+D37+D97</f>
        <v>39754202</v>
      </c>
      <c r="E204" s="279">
        <f>(+C204-D204)/D204</f>
        <v>-5.6695516111730779E-2</v>
      </c>
      <c r="F204" s="28">
        <f>F202+F187+F82+F112+F127+F52+F22+F142+F157+F67+F172+F37+F97</f>
        <v>19640125</v>
      </c>
      <c r="G204" s="28">
        <f>G202+G187+G82+G112+G127+G52+G22+G142+G157+G67+G172+G37+G97</f>
        <v>20559021</v>
      </c>
      <c r="H204" s="30">
        <f>(+F204-G204)/G204</f>
        <v>-4.4695513468272635E-2</v>
      </c>
      <c r="I204" s="31">
        <f>K204/C204</f>
        <v>46.286485543842204</v>
      </c>
      <c r="J204" s="31">
        <f>K204/F204</f>
        <v>88.378148342233061</v>
      </c>
      <c r="K204" s="28">
        <f>K202+K187+K82+K112+K127+K52+K22+K142+K157+K67+K172+K37+K97</f>
        <v>1735757880.71</v>
      </c>
      <c r="L204" s="28">
        <f>L202+L187+L82+L112+L127+L52+L22+L142+L157+L67+L172+L37+L97</f>
        <v>1745657216.3199999</v>
      </c>
      <c r="M204" s="32">
        <f>(+K204-L204)/L204</f>
        <v>-5.6708358991970778E-3</v>
      </c>
      <c r="N204" s="10"/>
      <c r="R204" s="2"/>
    </row>
    <row r="205" spans="1:18" ht="17.25" thickTop="1" thickBot="1" x14ac:dyDescent="0.3">
      <c r="A205" s="64"/>
      <c r="B205" s="65"/>
      <c r="C205" s="28"/>
      <c r="D205" s="28"/>
      <c r="E205" s="29"/>
      <c r="F205" s="28"/>
      <c r="G205" s="28"/>
      <c r="H205" s="30"/>
      <c r="I205" s="31"/>
      <c r="J205" s="31"/>
      <c r="K205" s="28"/>
      <c r="L205" s="28"/>
      <c r="M205" s="32"/>
      <c r="N205" s="10"/>
      <c r="R205" s="2"/>
    </row>
    <row r="206" spans="1:18" ht="17.25" thickTop="1" thickBot="1" x14ac:dyDescent="0.3">
      <c r="A206" s="64" t="s">
        <v>21</v>
      </c>
      <c r="B206" s="65"/>
      <c r="C206" s="28">
        <f>+C20+C35+C50+C65+C80+C95+C110+C125+C140+C155+C170+C185+C200</f>
        <v>3019522</v>
      </c>
      <c r="D206" s="28">
        <f>+D20+D35+D50+D65+D80+D95+D110+D125+D140+D155+D170+D185+D200</f>
        <v>3272634</v>
      </c>
      <c r="E206" s="279">
        <f>(+C206-D206)/D206</f>
        <v>-7.7341982024265468E-2</v>
      </c>
      <c r="F206" s="28">
        <f>+F20+F35+F50+F65+F80+F95+F110+F125+F140+F155+F170+F185+F200</f>
        <v>1595607</v>
      </c>
      <c r="G206" s="28">
        <f>+G20+G35+G50+G65+G80+G95+G110+G125+G140+G155+G170+G185+G200</f>
        <v>1715893</v>
      </c>
      <c r="H206" s="30">
        <f>(+F206-G206)/G206</f>
        <v>-7.0101107703102697E-2</v>
      </c>
      <c r="I206" s="31">
        <f>K206/C206</f>
        <v>47.438212988678337</v>
      </c>
      <c r="J206" s="31">
        <f>K206/F206</f>
        <v>89.771934918811453</v>
      </c>
      <c r="K206" s="28">
        <f>+K20+K35+K50+K65+K80+K95+K110+K125+K140+K155+K170+K185+K200</f>
        <v>143240727.75999999</v>
      </c>
      <c r="L206" s="28">
        <f>+L20+L35+L50+L65+L80+L95+L110+L125+L140+L155+L170+L185+L200</f>
        <v>147860721.30000001</v>
      </c>
      <c r="M206" s="44">
        <f>(+K206-L206)/L206</f>
        <v>-3.1245576914414937E-2</v>
      </c>
      <c r="N206" s="10"/>
      <c r="R206" s="2"/>
    </row>
    <row r="207" spans="1:18" ht="15.75" thickTop="1" x14ac:dyDescent="0.2">
      <c r="A207" s="66"/>
      <c r="B207" s="67"/>
      <c r="C207" s="68"/>
      <c r="D207" s="67"/>
      <c r="E207" s="67"/>
      <c r="F207" s="67"/>
      <c r="G207" s="67"/>
      <c r="H207" s="67"/>
      <c r="I207" s="67"/>
      <c r="J207" s="67"/>
      <c r="K207" s="68"/>
      <c r="L207" s="68"/>
      <c r="M207" s="67"/>
      <c r="R207" s="2"/>
    </row>
    <row r="208" spans="1:18" ht="18.75" x14ac:dyDescent="0.3">
      <c r="A208" s="264" t="s">
        <v>22</v>
      </c>
      <c r="B208" s="70"/>
      <c r="C208" s="71"/>
      <c r="D208" s="71"/>
      <c r="E208" s="71"/>
      <c r="F208" s="71"/>
      <c r="G208" s="71"/>
      <c r="H208" s="71"/>
      <c r="I208" s="71"/>
      <c r="J208" s="71"/>
      <c r="K208" s="198"/>
      <c r="L208" s="198"/>
      <c r="M208" s="71"/>
      <c r="N208" s="2"/>
      <c r="O208" s="2"/>
      <c r="P208" s="2"/>
      <c r="Q208" s="2"/>
      <c r="R208" s="2"/>
    </row>
    <row r="209" spans="1:18" ht="18" x14ac:dyDescent="0.25">
      <c r="A209" s="69"/>
      <c r="B209" s="70"/>
      <c r="C209" s="71"/>
      <c r="D209" s="71"/>
      <c r="E209" s="71"/>
      <c r="F209" s="71"/>
      <c r="G209" s="71"/>
      <c r="H209" s="71"/>
      <c r="I209" s="71"/>
      <c r="J209" s="71"/>
      <c r="K209" s="198"/>
      <c r="L209" s="198"/>
      <c r="M209" s="71"/>
      <c r="N209" s="2"/>
      <c r="O209" s="2"/>
      <c r="P209" s="2"/>
      <c r="Q209" s="2"/>
      <c r="R209" s="2"/>
    </row>
    <row r="210" spans="1:18" ht="15.75" x14ac:dyDescent="0.25">
      <c r="A210" s="72"/>
      <c r="B210" s="73"/>
      <c r="C210" s="74"/>
      <c r="D210" s="74"/>
      <c r="E210" s="74"/>
      <c r="F210" s="74"/>
      <c r="G210" s="74"/>
      <c r="H210" s="74"/>
      <c r="I210" s="74"/>
      <c r="J210" s="74"/>
      <c r="K210" s="192"/>
      <c r="L210" s="192"/>
      <c r="M210" s="75"/>
      <c r="N210" s="2"/>
      <c r="O210" s="2"/>
      <c r="P210" s="2"/>
      <c r="Q210" s="2"/>
      <c r="R210" s="2"/>
    </row>
    <row r="211" spans="1:18" x14ac:dyDescent="0.2">
      <c r="A211" s="2"/>
      <c r="B211" s="73"/>
      <c r="C211" s="74"/>
      <c r="D211" s="74"/>
      <c r="E211" s="74"/>
      <c r="F211" s="74"/>
      <c r="G211" s="74"/>
      <c r="H211" s="74"/>
      <c r="I211" s="74"/>
      <c r="J211" s="74"/>
      <c r="K211" s="192"/>
      <c r="L211" s="192"/>
      <c r="M211" s="75"/>
      <c r="N211" s="2"/>
      <c r="O211" s="2"/>
      <c r="P211" s="2"/>
      <c r="Q211" s="2"/>
      <c r="R211" s="2"/>
    </row>
    <row r="212" spans="1:18" x14ac:dyDescent="0.2">
      <c r="A212" s="2"/>
      <c r="B212" s="73"/>
      <c r="C212" s="74"/>
      <c r="D212" s="74"/>
      <c r="E212" s="74"/>
      <c r="F212" s="74"/>
      <c r="G212" s="74"/>
      <c r="H212" s="74"/>
      <c r="I212" s="74"/>
      <c r="J212" s="74"/>
      <c r="K212" s="192"/>
      <c r="L212" s="192"/>
      <c r="M212" s="75"/>
      <c r="N212" s="2"/>
      <c r="O212" s="2"/>
      <c r="P212" s="2"/>
      <c r="Q212" s="2"/>
      <c r="R212" s="2"/>
    </row>
    <row r="213" spans="1:18" x14ac:dyDescent="0.2">
      <c r="A213" s="2"/>
      <c r="B213" s="73"/>
      <c r="C213" s="74"/>
      <c r="D213" s="74"/>
      <c r="E213" s="74"/>
      <c r="F213" s="74"/>
      <c r="G213" s="74"/>
      <c r="H213" s="74"/>
      <c r="I213" s="74"/>
      <c r="J213" s="74"/>
      <c r="K213" s="192"/>
      <c r="L213" s="192"/>
      <c r="M213" s="75"/>
      <c r="N213" s="2"/>
      <c r="O213" s="2"/>
      <c r="P213" s="2"/>
      <c r="Q213" s="2"/>
      <c r="R213" s="2"/>
    </row>
    <row r="214" spans="1:18" x14ac:dyDescent="0.2">
      <c r="A214" s="2"/>
      <c r="B214" s="73"/>
      <c r="C214" s="74"/>
      <c r="D214" s="74"/>
      <c r="E214" s="74"/>
      <c r="F214" s="74"/>
      <c r="G214" s="74"/>
      <c r="H214" s="74"/>
      <c r="I214" s="74"/>
      <c r="J214" s="74"/>
      <c r="K214" s="192"/>
      <c r="L214" s="192"/>
      <c r="M214" s="75"/>
      <c r="N214" s="2"/>
      <c r="O214" s="2"/>
      <c r="P214" s="2"/>
      <c r="Q214" s="2"/>
      <c r="R214" s="2"/>
    </row>
    <row r="215" spans="1:18" x14ac:dyDescent="0.2">
      <c r="A215" s="2"/>
      <c r="B215" s="73"/>
      <c r="C215" s="74"/>
      <c r="D215" s="74"/>
      <c r="E215" s="74"/>
      <c r="F215" s="74"/>
      <c r="G215" s="74"/>
      <c r="H215" s="74"/>
      <c r="I215" s="74"/>
      <c r="J215" s="74"/>
      <c r="K215" s="192"/>
      <c r="L215" s="192"/>
      <c r="M215" s="75"/>
      <c r="N215" s="2"/>
      <c r="O215" s="2"/>
      <c r="P215" s="2"/>
      <c r="Q215" s="2"/>
      <c r="R215" s="2"/>
    </row>
    <row r="216" spans="1:18" x14ac:dyDescent="0.2">
      <c r="A216" s="2"/>
      <c r="B216" s="73"/>
      <c r="C216" s="74"/>
      <c r="D216" s="74"/>
      <c r="E216" s="74"/>
      <c r="F216" s="74"/>
      <c r="G216" s="74"/>
      <c r="H216" s="74"/>
      <c r="I216" s="74"/>
      <c r="J216" s="74"/>
      <c r="K216" s="192"/>
      <c r="L216" s="192"/>
      <c r="M216" s="75"/>
      <c r="N216" s="2"/>
      <c r="O216" s="2"/>
      <c r="P216" s="2"/>
      <c r="Q216" s="2"/>
      <c r="R216" s="2"/>
    </row>
    <row r="217" spans="1:18" x14ac:dyDescent="0.2">
      <c r="A217" s="2"/>
      <c r="B217" s="73"/>
      <c r="C217" s="74"/>
      <c r="D217" s="74"/>
      <c r="E217" s="74"/>
      <c r="F217" s="74"/>
      <c r="G217" s="74"/>
      <c r="H217" s="74"/>
      <c r="I217" s="74"/>
      <c r="J217" s="74"/>
      <c r="K217" s="192"/>
      <c r="L217" s="192"/>
      <c r="M217" s="75"/>
      <c r="N217" s="2"/>
      <c r="O217" s="2"/>
      <c r="P217" s="2"/>
      <c r="Q217" s="2"/>
      <c r="R217" s="2"/>
    </row>
    <row r="218" spans="1:18" x14ac:dyDescent="0.2">
      <c r="A218" s="2"/>
      <c r="B218" s="73"/>
      <c r="C218" s="74"/>
      <c r="D218" s="74"/>
      <c r="E218" s="74"/>
      <c r="F218" s="74"/>
      <c r="G218" s="74"/>
      <c r="H218" s="74"/>
      <c r="I218" s="74"/>
      <c r="J218" s="74"/>
      <c r="K218" s="192"/>
      <c r="L218" s="192"/>
      <c r="M218" s="75"/>
      <c r="N218" s="2"/>
      <c r="O218" s="2"/>
      <c r="P218" s="2"/>
      <c r="Q218" s="2"/>
      <c r="R218" s="2"/>
    </row>
    <row r="219" spans="1:18" x14ac:dyDescent="0.2">
      <c r="A219" s="2"/>
      <c r="B219" s="73"/>
      <c r="C219" s="74"/>
      <c r="D219" s="74"/>
      <c r="E219" s="74"/>
      <c r="F219" s="74"/>
      <c r="G219" s="74"/>
      <c r="H219" s="74"/>
      <c r="I219" s="74"/>
      <c r="J219" s="74"/>
      <c r="K219" s="192"/>
      <c r="L219" s="192"/>
      <c r="M219" s="74"/>
      <c r="N219" s="2"/>
      <c r="O219" s="2"/>
      <c r="P219" s="2"/>
      <c r="Q219" s="2"/>
      <c r="R219" s="2"/>
    </row>
    <row r="220" spans="1:18" x14ac:dyDescent="0.2">
      <c r="A220" s="2"/>
      <c r="B220" s="73"/>
      <c r="C220" s="74"/>
      <c r="D220" s="74"/>
      <c r="E220" s="74"/>
      <c r="F220" s="74"/>
      <c r="G220" s="74"/>
      <c r="H220" s="74"/>
      <c r="I220" s="74"/>
      <c r="J220" s="74"/>
      <c r="K220" s="192"/>
      <c r="L220" s="192"/>
      <c r="M220" s="74"/>
      <c r="N220" s="2"/>
      <c r="O220" s="2"/>
      <c r="P220" s="2"/>
      <c r="Q220" s="2"/>
      <c r="R220" s="2"/>
    </row>
    <row r="221" spans="1:18" x14ac:dyDescent="0.2">
      <c r="A221" s="2"/>
      <c r="B221" s="70"/>
      <c r="C221" s="74"/>
      <c r="D221" s="74"/>
      <c r="E221" s="74"/>
      <c r="F221" s="74"/>
      <c r="G221" s="74"/>
      <c r="H221" s="74"/>
      <c r="I221" s="74"/>
      <c r="J221" s="74"/>
      <c r="K221" s="192"/>
      <c r="L221" s="192"/>
      <c r="M221" s="74"/>
      <c r="N221" s="2"/>
      <c r="O221" s="2"/>
      <c r="P221" s="2"/>
      <c r="Q221" s="2"/>
      <c r="R221" s="2"/>
    </row>
    <row r="222" spans="1:18" ht="15.75" x14ac:dyDescent="0.25">
      <c r="A222" s="76"/>
      <c r="B222" s="70"/>
      <c r="C222" s="74"/>
      <c r="D222" s="74"/>
      <c r="E222" s="74"/>
      <c r="F222" s="74"/>
      <c r="G222" s="74"/>
      <c r="H222" s="74"/>
      <c r="I222" s="74"/>
      <c r="J222" s="74"/>
      <c r="K222" s="192"/>
      <c r="L222" s="192"/>
      <c r="M222" s="75"/>
      <c r="N222" s="2"/>
      <c r="O222" s="2"/>
      <c r="P222" s="2"/>
      <c r="Q222" s="2"/>
      <c r="R222" s="2"/>
    </row>
    <row r="223" spans="1:18" ht="15.75" x14ac:dyDescent="0.25">
      <c r="A223" s="76"/>
      <c r="B223" s="70"/>
      <c r="C223" s="74"/>
      <c r="D223" s="74"/>
      <c r="E223" s="74"/>
      <c r="F223" s="74"/>
      <c r="G223" s="74"/>
      <c r="H223" s="74"/>
      <c r="I223" s="74"/>
      <c r="J223" s="74"/>
      <c r="K223" s="192"/>
      <c r="L223" s="192"/>
      <c r="M223" s="75"/>
      <c r="N223" s="2"/>
      <c r="O223" s="2"/>
      <c r="P223" s="2"/>
      <c r="Q223" s="2"/>
      <c r="R223" s="2"/>
    </row>
    <row r="224" spans="1:18" ht="15.75" x14ac:dyDescent="0.25">
      <c r="A224" s="76"/>
      <c r="B224" s="70"/>
      <c r="C224" s="74"/>
      <c r="D224" s="74"/>
      <c r="E224" s="74"/>
      <c r="F224" s="74"/>
      <c r="G224" s="74"/>
      <c r="H224" s="74"/>
      <c r="I224" s="74"/>
      <c r="J224" s="74"/>
      <c r="K224" s="192"/>
      <c r="L224" s="192"/>
      <c r="M224" s="75"/>
      <c r="N224" s="2"/>
      <c r="O224" s="2"/>
      <c r="P224" s="2"/>
      <c r="Q224" s="2"/>
      <c r="R224" s="2"/>
    </row>
    <row r="225" spans="1:18" x14ac:dyDescent="0.2">
      <c r="A225" s="2"/>
      <c r="B225" s="70"/>
      <c r="C225" s="74"/>
      <c r="D225" s="74"/>
      <c r="E225" s="74"/>
      <c r="F225" s="74"/>
      <c r="G225" s="74"/>
      <c r="H225" s="74"/>
      <c r="I225" s="74"/>
      <c r="J225" s="74"/>
      <c r="K225" s="192"/>
      <c r="L225" s="192"/>
      <c r="M225" s="75"/>
      <c r="N225" s="2"/>
      <c r="O225" s="2"/>
      <c r="P225" s="2"/>
      <c r="Q225" s="2"/>
      <c r="R225" s="2"/>
    </row>
    <row r="226" spans="1:18" ht="15.75" x14ac:dyDescent="0.25">
      <c r="A226" s="76"/>
      <c r="B226" s="73"/>
      <c r="C226" s="74"/>
      <c r="D226" s="74"/>
      <c r="E226" s="74"/>
      <c r="F226" s="74"/>
      <c r="G226" s="74"/>
      <c r="H226" s="74"/>
      <c r="I226" s="74"/>
      <c r="J226" s="74"/>
      <c r="K226" s="192"/>
      <c r="L226" s="192"/>
      <c r="M226" s="75"/>
      <c r="N226" s="2"/>
      <c r="O226" s="2"/>
      <c r="P226" s="2"/>
      <c r="Q226" s="2"/>
      <c r="R226" s="2"/>
    </row>
    <row r="227" spans="1:18" x14ac:dyDescent="0.2">
      <c r="A227" s="2"/>
      <c r="B227" s="73"/>
      <c r="C227" s="74"/>
      <c r="D227" s="74"/>
      <c r="E227" s="74"/>
      <c r="F227" s="74"/>
      <c r="G227" s="74"/>
      <c r="H227" s="74"/>
      <c r="I227" s="74"/>
      <c r="J227" s="74"/>
      <c r="K227" s="192"/>
      <c r="L227" s="192"/>
      <c r="M227" s="75"/>
      <c r="N227" s="2"/>
      <c r="O227" s="2"/>
      <c r="P227" s="2"/>
      <c r="Q227" s="2"/>
      <c r="R227" s="2"/>
    </row>
    <row r="228" spans="1:18" x14ac:dyDescent="0.2">
      <c r="A228" s="2"/>
      <c r="B228" s="73"/>
      <c r="C228" s="74"/>
      <c r="D228" s="74"/>
      <c r="E228" s="74"/>
      <c r="F228" s="74"/>
      <c r="G228" s="74"/>
      <c r="H228" s="74"/>
      <c r="I228" s="74"/>
      <c r="J228" s="74"/>
      <c r="K228" s="192"/>
      <c r="L228" s="192"/>
      <c r="M228" s="75"/>
      <c r="N228" s="2"/>
      <c r="O228" s="2"/>
      <c r="P228" s="2"/>
      <c r="Q228" s="2"/>
      <c r="R228" s="2"/>
    </row>
    <row r="229" spans="1:18" x14ac:dyDescent="0.2">
      <c r="A229" s="2"/>
      <c r="B229" s="77"/>
      <c r="C229" s="74"/>
      <c r="D229" s="74"/>
      <c r="E229" s="74"/>
      <c r="F229" s="74"/>
      <c r="G229" s="74"/>
      <c r="H229" s="74"/>
      <c r="I229" s="74"/>
      <c r="J229" s="74"/>
      <c r="K229" s="192"/>
      <c r="L229" s="192"/>
      <c r="M229" s="75"/>
      <c r="N229" s="2"/>
      <c r="O229" s="2"/>
      <c r="P229" s="2"/>
      <c r="Q229" s="2"/>
      <c r="R229" s="2"/>
    </row>
    <row r="230" spans="1:18" x14ac:dyDescent="0.2">
      <c r="A230" s="2"/>
      <c r="B230" s="77"/>
      <c r="C230" s="74"/>
      <c r="D230" s="74"/>
      <c r="E230" s="74"/>
      <c r="F230" s="74"/>
      <c r="G230" s="74"/>
      <c r="H230" s="74"/>
      <c r="I230" s="74"/>
      <c r="J230" s="74"/>
      <c r="K230" s="192"/>
      <c r="L230" s="192"/>
      <c r="M230" s="75"/>
      <c r="N230" s="2"/>
      <c r="O230" s="2"/>
      <c r="P230" s="2"/>
      <c r="Q230" s="2"/>
      <c r="R230" s="2"/>
    </row>
    <row r="231" spans="1:18" x14ac:dyDescent="0.2">
      <c r="A231" s="2"/>
      <c r="B231" s="77"/>
      <c r="C231" s="74"/>
      <c r="D231" s="74"/>
      <c r="E231" s="74"/>
      <c r="F231" s="74"/>
      <c r="G231" s="74"/>
      <c r="H231" s="74"/>
      <c r="I231" s="74"/>
      <c r="J231" s="74"/>
      <c r="K231" s="192"/>
      <c r="L231" s="192"/>
      <c r="M231" s="75"/>
      <c r="N231" s="2"/>
      <c r="O231" s="2"/>
      <c r="P231" s="2"/>
      <c r="Q231" s="2"/>
      <c r="R231" s="2"/>
    </row>
    <row r="232" spans="1:18" x14ac:dyDescent="0.2">
      <c r="A232" s="2"/>
      <c r="B232" s="77"/>
      <c r="C232" s="74"/>
      <c r="D232" s="74"/>
      <c r="E232" s="74"/>
      <c r="F232" s="74"/>
      <c r="G232" s="74"/>
      <c r="H232" s="74"/>
      <c r="I232" s="74"/>
      <c r="J232" s="74"/>
      <c r="K232" s="192"/>
      <c r="L232" s="192"/>
      <c r="M232" s="75"/>
      <c r="N232" s="2"/>
      <c r="O232" s="2"/>
      <c r="P232" s="2"/>
      <c r="Q232" s="2"/>
      <c r="R232" s="2"/>
    </row>
    <row r="233" spans="1:18" x14ac:dyDescent="0.2">
      <c r="A233" s="2"/>
      <c r="B233" s="77"/>
      <c r="C233" s="74"/>
      <c r="D233" s="74"/>
      <c r="E233" s="74"/>
      <c r="F233" s="74"/>
      <c r="G233" s="74"/>
      <c r="H233" s="74"/>
      <c r="I233" s="74"/>
      <c r="J233" s="74"/>
      <c r="K233" s="192"/>
      <c r="L233" s="192"/>
      <c r="M233" s="75"/>
      <c r="N233" s="2"/>
      <c r="O233" s="2"/>
      <c r="P233" s="2"/>
      <c r="Q233" s="2"/>
      <c r="R233" s="2"/>
    </row>
    <row r="234" spans="1:18" x14ac:dyDescent="0.2">
      <c r="A234" s="2"/>
      <c r="B234" s="77"/>
      <c r="C234" s="74"/>
      <c r="D234" s="74"/>
      <c r="E234" s="74"/>
      <c r="F234" s="74"/>
      <c r="G234" s="74"/>
      <c r="H234" s="74"/>
      <c r="I234" s="74"/>
      <c r="J234" s="74"/>
      <c r="K234" s="192"/>
      <c r="L234" s="192"/>
      <c r="M234" s="75"/>
      <c r="N234" s="2"/>
      <c r="O234" s="2"/>
      <c r="P234" s="2"/>
      <c r="Q234" s="2"/>
      <c r="R234" s="2"/>
    </row>
    <row r="235" spans="1:18" x14ac:dyDescent="0.2">
      <c r="A235" s="2"/>
      <c r="B235" s="77"/>
      <c r="C235" s="74"/>
      <c r="D235" s="74"/>
      <c r="E235" s="74"/>
      <c r="F235" s="74"/>
      <c r="G235" s="74"/>
      <c r="H235" s="74"/>
      <c r="I235" s="74"/>
      <c r="J235" s="74"/>
      <c r="K235" s="192"/>
      <c r="L235" s="192"/>
      <c r="M235" s="75"/>
      <c r="N235" s="2"/>
      <c r="O235" s="2"/>
      <c r="P235" s="2"/>
      <c r="Q235" s="2"/>
      <c r="R235" s="2"/>
    </row>
    <row r="236" spans="1:18" x14ac:dyDescent="0.2">
      <c r="A236" s="2"/>
      <c r="B236" s="77"/>
      <c r="C236" s="74"/>
      <c r="D236" s="74"/>
      <c r="E236" s="74"/>
      <c r="F236" s="74"/>
      <c r="G236" s="74"/>
      <c r="H236" s="74"/>
      <c r="I236" s="74"/>
      <c r="J236" s="74"/>
      <c r="K236" s="192"/>
      <c r="L236" s="192"/>
      <c r="M236" s="75"/>
      <c r="N236" s="2"/>
      <c r="O236" s="2"/>
      <c r="P236" s="2"/>
      <c r="Q236" s="2"/>
      <c r="R236" s="2"/>
    </row>
    <row r="237" spans="1:18" x14ac:dyDescent="0.2">
      <c r="A237" s="2"/>
      <c r="B237" s="77"/>
      <c r="C237" s="74"/>
      <c r="D237" s="74"/>
      <c r="E237" s="74"/>
      <c r="F237" s="74"/>
      <c r="G237" s="74"/>
      <c r="H237" s="74"/>
      <c r="I237" s="74"/>
      <c r="J237" s="74"/>
      <c r="K237" s="192"/>
      <c r="L237" s="192"/>
      <c r="M237" s="75"/>
      <c r="N237" s="2"/>
      <c r="O237" s="2"/>
      <c r="P237" s="2"/>
      <c r="Q237" s="2"/>
      <c r="R237" s="2"/>
    </row>
    <row r="238" spans="1:18" x14ac:dyDescent="0.2">
      <c r="A238" s="2"/>
      <c r="B238" s="2"/>
      <c r="C238" s="74"/>
      <c r="D238" s="74"/>
      <c r="E238" s="74"/>
      <c r="F238" s="74"/>
      <c r="G238" s="74"/>
      <c r="H238" s="74"/>
      <c r="I238" s="74"/>
      <c r="J238" s="74"/>
      <c r="K238" s="192"/>
      <c r="L238" s="192"/>
      <c r="M238" s="75"/>
      <c r="N238" s="2"/>
      <c r="O238" s="2"/>
      <c r="P238" s="2"/>
      <c r="Q238" s="2"/>
      <c r="R238" s="2"/>
    </row>
    <row r="239" spans="1:18" ht="15.75" x14ac:dyDescent="0.25">
      <c r="A239" s="76"/>
      <c r="B239" s="2"/>
      <c r="C239" s="74"/>
      <c r="D239" s="74"/>
      <c r="E239" s="74"/>
      <c r="F239" s="74"/>
      <c r="G239" s="74"/>
      <c r="H239" s="74"/>
      <c r="I239" s="74"/>
      <c r="J239" s="74"/>
      <c r="K239" s="192"/>
      <c r="L239" s="192"/>
      <c r="M239" s="75"/>
      <c r="N239" s="2"/>
      <c r="O239" s="2"/>
      <c r="P239" s="2"/>
      <c r="Q239" s="2"/>
      <c r="R239" s="2"/>
    </row>
    <row r="240" spans="1:18" x14ac:dyDescent="0.2">
      <c r="A240" s="2"/>
      <c r="B240" s="2"/>
      <c r="C240" s="74"/>
      <c r="D240" s="74"/>
      <c r="E240" s="74"/>
      <c r="F240" s="74"/>
      <c r="G240" s="74"/>
      <c r="H240" s="74"/>
      <c r="I240" s="74"/>
      <c r="J240" s="74"/>
      <c r="K240" s="192"/>
      <c r="L240" s="192"/>
      <c r="M240" s="75"/>
      <c r="N240" s="2"/>
      <c r="O240" s="2"/>
      <c r="P240" s="2"/>
      <c r="Q240" s="2"/>
      <c r="R240" s="2"/>
    </row>
    <row r="241" spans="1:18" x14ac:dyDescent="0.2">
      <c r="A241" s="2"/>
      <c r="B241" s="2"/>
      <c r="C241" s="74"/>
      <c r="D241" s="74"/>
      <c r="E241" s="74"/>
      <c r="F241" s="74"/>
      <c r="G241" s="74"/>
      <c r="H241" s="74"/>
      <c r="I241" s="74"/>
      <c r="J241" s="74"/>
      <c r="K241" s="192"/>
      <c r="L241" s="192"/>
      <c r="M241" s="75"/>
      <c r="N241" s="2"/>
      <c r="O241" s="2"/>
      <c r="P241" s="2"/>
      <c r="Q241" s="2"/>
      <c r="R241" s="2"/>
    </row>
    <row r="242" spans="1:18" ht="15.75" x14ac:dyDescent="0.25">
      <c r="A242" s="76"/>
      <c r="B242" s="2"/>
      <c r="C242" s="74"/>
      <c r="D242" s="74"/>
      <c r="E242" s="74"/>
      <c r="F242" s="74"/>
      <c r="G242" s="74"/>
      <c r="H242" s="74"/>
      <c r="I242" s="74"/>
      <c r="J242" s="74"/>
      <c r="K242" s="192"/>
      <c r="L242" s="192"/>
      <c r="M242" s="75"/>
      <c r="N242" s="2"/>
      <c r="O242" s="2"/>
      <c r="P242" s="2"/>
      <c r="Q242" s="2"/>
      <c r="R242" s="2"/>
    </row>
    <row r="243" spans="1:18" ht="15.75" x14ac:dyDescent="0.25">
      <c r="A243" s="76"/>
      <c r="B243" s="2"/>
      <c r="C243" s="74"/>
      <c r="D243" s="74"/>
      <c r="E243" s="74"/>
      <c r="F243" s="74"/>
      <c r="G243" s="74"/>
      <c r="H243" s="74"/>
      <c r="I243" s="74"/>
      <c r="J243" s="74"/>
      <c r="K243" s="192"/>
      <c r="L243" s="192"/>
      <c r="M243" s="75"/>
      <c r="N243" s="2"/>
      <c r="O243" s="2"/>
      <c r="P243" s="2"/>
      <c r="Q243" s="2"/>
      <c r="R243" s="2"/>
    </row>
    <row r="244" spans="1:18" ht="15.75" x14ac:dyDescent="0.25">
      <c r="A244" s="76"/>
      <c r="B244" s="77"/>
      <c r="C244" s="74"/>
      <c r="D244" s="74"/>
      <c r="E244" s="74"/>
      <c r="F244" s="74"/>
      <c r="G244" s="74"/>
      <c r="H244" s="74"/>
      <c r="I244" s="74"/>
      <c r="J244" s="74"/>
      <c r="K244" s="192"/>
      <c r="L244" s="192"/>
      <c r="M244" s="75"/>
      <c r="N244" s="2"/>
      <c r="O244" s="2"/>
      <c r="P244" s="2"/>
      <c r="Q244" s="2"/>
      <c r="R244" s="2"/>
    </row>
    <row r="245" spans="1:18" x14ac:dyDescent="0.2">
      <c r="A245" s="2"/>
      <c r="B245" s="77"/>
      <c r="C245" s="74"/>
      <c r="D245" s="74"/>
      <c r="E245" s="74"/>
      <c r="F245" s="74"/>
      <c r="G245" s="74"/>
      <c r="H245" s="74"/>
      <c r="I245" s="74"/>
      <c r="J245" s="74"/>
      <c r="K245" s="192"/>
      <c r="L245" s="192"/>
      <c r="M245" s="75"/>
      <c r="N245" s="2"/>
      <c r="O245" s="2"/>
      <c r="P245" s="2"/>
      <c r="Q245" s="2"/>
      <c r="R245" s="2"/>
    </row>
    <row r="246" spans="1:18" x14ac:dyDescent="0.2">
      <c r="A246" s="2"/>
      <c r="B246" s="77"/>
      <c r="C246" s="74"/>
      <c r="D246" s="74"/>
      <c r="E246" s="74"/>
      <c r="F246" s="74"/>
      <c r="G246" s="74"/>
      <c r="H246" s="74"/>
      <c r="I246" s="74"/>
      <c r="J246" s="74"/>
      <c r="K246" s="192"/>
      <c r="L246" s="192"/>
      <c r="M246" s="75"/>
      <c r="N246" s="2"/>
      <c r="O246" s="2"/>
      <c r="P246" s="2"/>
      <c r="Q246" s="2"/>
      <c r="R246" s="2"/>
    </row>
    <row r="247" spans="1:18" x14ac:dyDescent="0.2">
      <c r="A247" s="2"/>
      <c r="B247" s="77"/>
      <c r="C247" s="74"/>
      <c r="D247" s="74"/>
      <c r="E247" s="74"/>
      <c r="F247" s="74"/>
      <c r="G247" s="74"/>
      <c r="H247" s="74"/>
      <c r="I247" s="74"/>
      <c r="J247" s="74"/>
      <c r="K247" s="192"/>
      <c r="L247" s="192"/>
      <c r="M247" s="75"/>
      <c r="N247" s="2"/>
      <c r="O247" s="2"/>
      <c r="P247" s="2"/>
      <c r="Q247" s="2"/>
      <c r="R247" s="2"/>
    </row>
    <row r="248" spans="1:18" x14ac:dyDescent="0.2">
      <c r="A248" s="2"/>
      <c r="B248" s="77"/>
      <c r="C248" s="74"/>
      <c r="D248" s="74"/>
      <c r="E248" s="74"/>
      <c r="F248" s="74"/>
      <c r="G248" s="74"/>
      <c r="H248" s="74"/>
      <c r="I248" s="74"/>
      <c r="J248" s="74"/>
      <c r="K248" s="192"/>
      <c r="L248" s="192"/>
      <c r="M248" s="75"/>
      <c r="N248" s="2"/>
      <c r="O248" s="2"/>
      <c r="P248" s="2"/>
      <c r="Q248" s="2"/>
      <c r="R248" s="2"/>
    </row>
    <row r="249" spans="1:18" x14ac:dyDescent="0.2">
      <c r="A249" s="2"/>
      <c r="B249" s="77"/>
      <c r="C249" s="74"/>
      <c r="D249" s="74"/>
      <c r="E249" s="74"/>
      <c r="F249" s="74"/>
      <c r="G249" s="74"/>
      <c r="H249" s="74"/>
      <c r="I249" s="74"/>
      <c r="J249" s="74"/>
      <c r="K249" s="192"/>
      <c r="L249" s="192"/>
      <c r="M249" s="75"/>
      <c r="N249" s="2"/>
      <c r="O249" s="2"/>
      <c r="P249" s="2"/>
      <c r="Q249" s="2"/>
      <c r="R249" s="2"/>
    </row>
    <row r="250" spans="1:18" x14ac:dyDescent="0.2">
      <c r="A250" s="2"/>
      <c r="B250" s="77"/>
      <c r="C250" s="74"/>
      <c r="D250" s="74"/>
      <c r="E250" s="74"/>
      <c r="F250" s="74"/>
      <c r="G250" s="74"/>
      <c r="H250" s="74"/>
      <c r="I250" s="74"/>
      <c r="J250" s="74"/>
      <c r="K250" s="192"/>
      <c r="L250" s="192"/>
      <c r="M250" s="75"/>
      <c r="N250" s="2"/>
      <c r="O250" s="2"/>
      <c r="P250" s="2"/>
      <c r="Q250" s="2"/>
      <c r="R250" s="2"/>
    </row>
    <row r="251" spans="1:18" x14ac:dyDescent="0.2">
      <c r="A251" s="2"/>
      <c r="B251" s="77"/>
      <c r="C251" s="74"/>
      <c r="D251" s="74"/>
      <c r="E251" s="74"/>
      <c r="F251" s="74"/>
      <c r="G251" s="74"/>
      <c r="H251" s="74"/>
      <c r="I251" s="74"/>
      <c r="J251" s="74"/>
      <c r="K251" s="192"/>
      <c r="L251" s="192"/>
      <c r="M251" s="75"/>
      <c r="N251" s="2"/>
      <c r="O251" s="2"/>
      <c r="P251" s="2"/>
      <c r="Q251" s="2"/>
      <c r="R251" s="2"/>
    </row>
    <row r="252" spans="1:18" x14ac:dyDescent="0.2">
      <c r="A252" s="2"/>
      <c r="B252" s="77"/>
      <c r="C252" s="74"/>
      <c r="D252" s="74"/>
      <c r="E252" s="74"/>
      <c r="F252" s="74"/>
      <c r="G252" s="74"/>
      <c r="H252" s="74"/>
      <c r="I252" s="74"/>
      <c r="J252" s="74"/>
      <c r="K252" s="192"/>
      <c r="L252" s="192"/>
      <c r="M252" s="75"/>
      <c r="N252" s="2"/>
      <c r="O252" s="2"/>
      <c r="P252" s="2"/>
      <c r="Q252" s="2"/>
      <c r="R252" s="2"/>
    </row>
    <row r="253" spans="1:18" x14ac:dyDescent="0.2">
      <c r="A253" s="2"/>
      <c r="B253" s="77"/>
      <c r="C253" s="74"/>
      <c r="D253" s="74"/>
      <c r="E253" s="74"/>
      <c r="F253" s="74"/>
      <c r="G253" s="74"/>
      <c r="H253" s="74"/>
      <c r="I253" s="74"/>
      <c r="J253" s="74"/>
      <c r="K253" s="192"/>
      <c r="L253" s="192"/>
      <c r="M253" s="75"/>
      <c r="N253" s="2"/>
      <c r="O253" s="2"/>
      <c r="P253" s="2"/>
      <c r="Q253" s="2"/>
      <c r="R253" s="2"/>
    </row>
    <row r="254" spans="1:18" x14ac:dyDescent="0.2">
      <c r="A254" s="2"/>
      <c r="B254" s="77"/>
      <c r="C254" s="74"/>
      <c r="D254" s="74"/>
      <c r="E254" s="74"/>
      <c r="F254" s="74"/>
      <c r="G254" s="74"/>
      <c r="H254" s="74"/>
      <c r="I254" s="74"/>
      <c r="J254" s="74"/>
      <c r="K254" s="192"/>
      <c r="L254" s="192"/>
      <c r="M254" s="75"/>
      <c r="N254" s="2"/>
      <c r="O254" s="2"/>
      <c r="P254" s="2"/>
      <c r="Q254" s="2"/>
      <c r="R254" s="2"/>
    </row>
    <row r="255" spans="1:18" x14ac:dyDescent="0.2">
      <c r="A255" s="2"/>
      <c r="B255" s="77"/>
      <c r="C255" s="74"/>
      <c r="D255" s="74"/>
      <c r="E255" s="74"/>
      <c r="F255" s="74"/>
      <c r="G255" s="74"/>
      <c r="H255" s="74"/>
      <c r="I255" s="74"/>
      <c r="J255" s="74"/>
      <c r="K255" s="192"/>
      <c r="L255" s="192"/>
      <c r="M255" s="75"/>
      <c r="N255" s="2"/>
      <c r="O255" s="2"/>
      <c r="P255" s="2"/>
      <c r="Q255" s="2"/>
      <c r="R255" s="2"/>
    </row>
    <row r="256" spans="1:18" x14ac:dyDescent="0.2">
      <c r="A256" s="2"/>
      <c r="B256" s="2"/>
      <c r="C256" s="74"/>
      <c r="D256" s="74"/>
      <c r="E256" s="74"/>
      <c r="F256" s="74"/>
      <c r="G256" s="74"/>
      <c r="H256" s="74"/>
      <c r="I256" s="74"/>
      <c r="J256" s="74"/>
      <c r="K256" s="192"/>
      <c r="L256" s="192"/>
      <c r="M256" s="75"/>
      <c r="N256" s="2"/>
      <c r="O256" s="2"/>
      <c r="P256" s="2"/>
      <c r="Q256" s="2"/>
      <c r="R256" s="2"/>
    </row>
    <row r="257" spans="1:18" ht="15.75" x14ac:dyDescent="0.25">
      <c r="A257" s="76"/>
      <c r="B257" s="2"/>
      <c r="C257" s="74"/>
      <c r="D257" s="74"/>
      <c r="E257" s="74"/>
      <c r="F257" s="74"/>
      <c r="G257" s="74"/>
      <c r="H257" s="74"/>
      <c r="I257" s="74"/>
      <c r="J257" s="74"/>
      <c r="K257" s="192"/>
      <c r="L257" s="192"/>
      <c r="M257" s="75"/>
      <c r="N257" s="2"/>
      <c r="O257" s="2"/>
      <c r="P257" s="2"/>
      <c r="Q257" s="2"/>
      <c r="R257" s="2"/>
    </row>
    <row r="258" spans="1:18" x14ac:dyDescent="0.2">
      <c r="A258" s="2"/>
      <c r="B258" s="2"/>
      <c r="C258" s="74"/>
      <c r="D258" s="74"/>
      <c r="E258" s="74"/>
      <c r="F258" s="74"/>
      <c r="G258" s="74"/>
      <c r="H258" s="74"/>
      <c r="I258" s="74"/>
      <c r="J258" s="74"/>
      <c r="K258" s="192"/>
      <c r="L258" s="192"/>
      <c r="M258" s="75"/>
      <c r="N258" s="2"/>
      <c r="O258" s="2"/>
      <c r="P258" s="2"/>
      <c r="Q258" s="2"/>
      <c r="R258" s="2"/>
    </row>
    <row r="259" spans="1:18" x14ac:dyDescent="0.2">
      <c r="A259" s="2"/>
      <c r="B259" s="2"/>
      <c r="C259" s="74"/>
      <c r="D259" s="74"/>
      <c r="E259" s="74"/>
      <c r="F259" s="74"/>
      <c r="G259" s="74"/>
      <c r="H259" s="74"/>
      <c r="I259" s="74"/>
      <c r="J259" s="74"/>
      <c r="K259" s="192"/>
      <c r="L259" s="192"/>
      <c r="M259" s="75"/>
      <c r="N259" s="2"/>
      <c r="O259" s="2"/>
      <c r="P259" s="2"/>
      <c r="Q259" s="2"/>
      <c r="R259" s="2"/>
    </row>
    <row r="260" spans="1:18" ht="15.75" x14ac:dyDescent="0.25">
      <c r="A260" s="76"/>
      <c r="B260" s="77"/>
      <c r="C260" s="74"/>
      <c r="D260" s="74"/>
      <c r="E260" s="74"/>
      <c r="F260" s="74"/>
      <c r="G260" s="74"/>
      <c r="H260" s="74"/>
      <c r="I260" s="74"/>
      <c r="J260" s="74"/>
      <c r="K260" s="192"/>
      <c r="L260" s="192"/>
      <c r="M260" s="75"/>
      <c r="N260" s="2"/>
      <c r="O260" s="2"/>
      <c r="P260" s="2"/>
      <c r="Q260" s="2"/>
      <c r="R260" s="2"/>
    </row>
    <row r="261" spans="1:18" x14ac:dyDescent="0.2">
      <c r="A261" s="2"/>
      <c r="B261" s="77"/>
      <c r="C261" s="74"/>
      <c r="D261" s="74"/>
      <c r="E261" s="74"/>
      <c r="F261" s="74"/>
      <c r="G261" s="74"/>
      <c r="H261" s="74"/>
      <c r="I261" s="74"/>
      <c r="J261" s="74"/>
      <c r="K261" s="192"/>
      <c r="L261" s="192"/>
      <c r="M261" s="75"/>
      <c r="N261" s="2"/>
      <c r="O261" s="2"/>
      <c r="P261" s="2"/>
      <c r="Q261" s="2"/>
      <c r="R261" s="2"/>
    </row>
    <row r="262" spans="1:18" x14ac:dyDescent="0.2">
      <c r="A262" s="2"/>
      <c r="B262" s="77"/>
      <c r="C262" s="74"/>
      <c r="D262" s="74"/>
      <c r="E262" s="74"/>
      <c r="F262" s="74"/>
      <c r="G262" s="74"/>
      <c r="H262" s="74"/>
      <c r="I262" s="74"/>
      <c r="J262" s="74"/>
      <c r="K262" s="192"/>
      <c r="L262" s="192"/>
      <c r="M262" s="75"/>
      <c r="N262" s="2"/>
      <c r="O262" s="2"/>
      <c r="P262" s="2"/>
      <c r="Q262" s="2"/>
      <c r="R262" s="2"/>
    </row>
    <row r="263" spans="1:18" x14ac:dyDescent="0.2">
      <c r="A263" s="2"/>
      <c r="B263" s="2"/>
      <c r="C263" s="74"/>
      <c r="D263" s="74"/>
      <c r="E263" s="74"/>
      <c r="F263" s="74"/>
      <c r="G263" s="74"/>
      <c r="H263" s="74"/>
      <c r="I263" s="74"/>
      <c r="J263" s="74"/>
      <c r="K263" s="192"/>
      <c r="L263" s="192"/>
      <c r="M263" s="75"/>
      <c r="N263" s="2"/>
      <c r="O263" s="2"/>
      <c r="P263" s="2"/>
      <c r="Q263" s="2"/>
      <c r="R263" s="2"/>
    </row>
    <row r="264" spans="1:18" x14ac:dyDescent="0.2">
      <c r="A264" s="2"/>
      <c r="B264" s="2"/>
      <c r="C264" s="74"/>
      <c r="D264" s="74"/>
      <c r="E264" s="74"/>
      <c r="F264" s="74"/>
      <c r="G264" s="74"/>
      <c r="H264" s="74"/>
      <c r="I264" s="74"/>
      <c r="J264" s="74"/>
      <c r="K264" s="192"/>
      <c r="L264" s="192"/>
      <c r="M264" s="75"/>
      <c r="N264" s="2"/>
      <c r="O264" s="2"/>
      <c r="P264" s="2"/>
      <c r="Q264" s="2"/>
      <c r="R264" s="2"/>
    </row>
    <row r="265" spans="1:18" x14ac:dyDescent="0.2">
      <c r="A265" s="2"/>
      <c r="B265" s="2"/>
      <c r="C265" s="74"/>
      <c r="D265" s="74"/>
      <c r="E265" s="74"/>
      <c r="F265" s="74"/>
      <c r="G265" s="74"/>
      <c r="H265" s="74"/>
      <c r="I265" s="74"/>
      <c r="J265" s="74"/>
      <c r="K265" s="192"/>
      <c r="L265" s="192"/>
      <c r="M265" s="75"/>
      <c r="N265" s="2"/>
      <c r="O265" s="2"/>
      <c r="P265" s="2"/>
      <c r="Q265" s="2"/>
      <c r="R265" s="2"/>
    </row>
    <row r="266" spans="1:18" ht="15.75" x14ac:dyDescent="0.25">
      <c r="A266" s="76"/>
      <c r="B266" s="2"/>
      <c r="C266" s="74"/>
      <c r="D266" s="74"/>
      <c r="E266" s="74"/>
      <c r="F266" s="74"/>
      <c r="G266" s="74"/>
      <c r="H266" s="74"/>
      <c r="I266" s="74"/>
      <c r="J266" s="74"/>
      <c r="K266" s="192"/>
      <c r="L266" s="192"/>
      <c r="M266" s="75"/>
      <c r="N266" s="2"/>
      <c r="O266" s="2"/>
      <c r="P266" s="2"/>
      <c r="Q266" s="2"/>
      <c r="R266" s="2"/>
    </row>
    <row r="267" spans="1:18" x14ac:dyDescent="0.2">
      <c r="A267" s="2"/>
      <c r="B267" s="2"/>
      <c r="C267" s="74"/>
      <c r="D267" s="74"/>
      <c r="E267" s="74"/>
      <c r="F267" s="74"/>
      <c r="G267" s="74"/>
      <c r="H267" s="74"/>
      <c r="I267" s="74"/>
      <c r="J267" s="74"/>
      <c r="K267" s="192"/>
      <c r="L267" s="192"/>
      <c r="M267" s="75"/>
      <c r="N267" s="2"/>
      <c r="O267" s="2"/>
      <c r="P267" s="2"/>
      <c r="Q267" s="2"/>
      <c r="R267" s="2"/>
    </row>
    <row r="268" spans="1:18" x14ac:dyDescent="0.2">
      <c r="A268" s="2"/>
      <c r="B268" s="2"/>
      <c r="C268" s="74"/>
      <c r="D268" s="74"/>
      <c r="E268" s="74"/>
      <c r="F268" s="74"/>
      <c r="G268" s="74"/>
      <c r="H268" s="74"/>
      <c r="I268" s="74"/>
      <c r="J268" s="74"/>
      <c r="K268" s="192"/>
      <c r="L268" s="192"/>
      <c r="M268" s="75"/>
      <c r="N268" s="2"/>
      <c r="O268" s="2"/>
      <c r="P268" s="2"/>
      <c r="Q268" s="2"/>
      <c r="R268" s="2"/>
    </row>
    <row r="269" spans="1:18" ht="15.75" x14ac:dyDescent="0.25">
      <c r="A269" s="76"/>
      <c r="B269" s="76"/>
      <c r="C269" s="74"/>
      <c r="D269" s="74"/>
      <c r="E269" s="74"/>
      <c r="F269" s="74"/>
      <c r="G269" s="74"/>
      <c r="H269" s="74"/>
      <c r="I269" s="74"/>
      <c r="J269" s="74"/>
      <c r="K269" s="192"/>
      <c r="L269" s="192"/>
      <c r="M269" s="75"/>
      <c r="N269" s="2"/>
      <c r="O269" s="2"/>
      <c r="P269" s="2"/>
      <c r="Q269" s="2"/>
      <c r="R269" s="2"/>
    </row>
    <row r="270" spans="1:18" x14ac:dyDescent="0.2">
      <c r="A270" s="2"/>
      <c r="B270" s="2"/>
      <c r="C270" s="74"/>
      <c r="D270" s="74"/>
      <c r="E270" s="74"/>
      <c r="F270" s="74"/>
      <c r="G270" s="74"/>
      <c r="H270" s="74"/>
      <c r="I270" s="74"/>
      <c r="J270" s="74"/>
      <c r="K270" s="192"/>
      <c r="L270" s="192"/>
      <c r="M270" s="75"/>
      <c r="N270" s="2"/>
      <c r="O270" s="2"/>
      <c r="P270" s="2"/>
      <c r="Q270" s="2"/>
      <c r="R270" s="2"/>
    </row>
    <row r="271" spans="1:18" x14ac:dyDescent="0.2">
      <c r="A271" s="2"/>
      <c r="B271" s="2"/>
      <c r="C271" s="74"/>
      <c r="D271" s="74"/>
      <c r="E271" s="74"/>
      <c r="F271" s="74"/>
      <c r="G271" s="74"/>
      <c r="H271" s="74"/>
      <c r="I271" s="74"/>
      <c r="J271" s="74"/>
      <c r="K271" s="192"/>
      <c r="L271" s="192"/>
      <c r="M271" s="75"/>
      <c r="N271" s="2"/>
      <c r="O271" s="2"/>
      <c r="P271" s="2"/>
      <c r="Q271" s="2"/>
      <c r="R271" s="2"/>
    </row>
    <row r="272" spans="1:18" x14ac:dyDescent="0.2">
      <c r="A272" s="2"/>
      <c r="B272" s="2"/>
      <c r="C272" s="74"/>
      <c r="D272" s="74"/>
      <c r="E272" s="74"/>
      <c r="F272" s="74"/>
      <c r="G272" s="74"/>
      <c r="H272" s="74"/>
      <c r="I272" s="74"/>
      <c r="J272" s="74"/>
      <c r="K272" s="192"/>
      <c r="L272" s="192"/>
      <c r="M272" s="75"/>
      <c r="N272" s="2"/>
      <c r="O272" s="2"/>
      <c r="P272" s="2"/>
      <c r="Q272" s="2"/>
      <c r="R272" s="2"/>
    </row>
    <row r="273" spans="1:18" x14ac:dyDescent="0.2">
      <c r="A273" s="2"/>
      <c r="B273" s="2"/>
      <c r="C273" s="74"/>
      <c r="D273" s="74"/>
      <c r="E273" s="74"/>
      <c r="F273" s="74"/>
      <c r="G273" s="74"/>
      <c r="H273" s="74"/>
      <c r="I273" s="74"/>
      <c r="J273" s="74"/>
      <c r="K273" s="192"/>
      <c r="L273" s="192"/>
      <c r="M273" s="75"/>
      <c r="N273" s="2"/>
      <c r="O273" s="2"/>
      <c r="P273" s="2"/>
      <c r="Q273" s="2"/>
      <c r="R273" s="2"/>
    </row>
    <row r="274" spans="1:18" x14ac:dyDescent="0.2">
      <c r="A274" s="2"/>
      <c r="B274" s="2"/>
      <c r="C274" s="74"/>
      <c r="D274" s="74"/>
      <c r="E274" s="74"/>
      <c r="F274" s="74"/>
      <c r="G274" s="74"/>
      <c r="H274" s="74"/>
      <c r="I274" s="74"/>
      <c r="J274" s="74"/>
      <c r="K274" s="192"/>
      <c r="L274" s="192"/>
      <c r="M274" s="75"/>
      <c r="N274" s="2"/>
      <c r="O274" s="2"/>
      <c r="P274" s="2"/>
      <c r="Q274" s="2"/>
      <c r="R274" s="2"/>
    </row>
    <row r="275" spans="1:18" x14ac:dyDescent="0.2">
      <c r="A275" s="2"/>
      <c r="B275" s="2"/>
      <c r="C275" s="74"/>
      <c r="D275" s="74"/>
      <c r="E275" s="74"/>
      <c r="F275" s="74"/>
      <c r="G275" s="74"/>
      <c r="H275" s="74"/>
      <c r="I275" s="74"/>
      <c r="J275" s="74"/>
      <c r="K275" s="192"/>
      <c r="L275" s="192"/>
      <c r="M275" s="75"/>
      <c r="N275" s="2"/>
      <c r="O275" s="2"/>
      <c r="P275" s="2"/>
      <c r="Q275" s="2"/>
      <c r="R275" s="2"/>
    </row>
    <row r="276" spans="1:18" x14ac:dyDescent="0.2">
      <c r="A276" s="2"/>
      <c r="B276" s="2"/>
      <c r="C276" s="74"/>
      <c r="D276" s="74"/>
      <c r="E276" s="74"/>
      <c r="F276" s="74"/>
      <c r="G276" s="74"/>
      <c r="H276" s="74"/>
      <c r="I276" s="74"/>
      <c r="J276" s="74"/>
      <c r="K276" s="192"/>
      <c r="L276" s="192"/>
      <c r="M276" s="75"/>
      <c r="N276" s="2"/>
      <c r="O276" s="2"/>
      <c r="P276" s="2"/>
      <c r="Q276" s="2"/>
      <c r="R276" s="2"/>
    </row>
    <row r="277" spans="1:18" x14ac:dyDescent="0.2">
      <c r="A277" s="2"/>
      <c r="B277" s="2"/>
      <c r="C277" s="74"/>
      <c r="D277" s="74"/>
      <c r="E277" s="74"/>
      <c r="F277" s="74"/>
      <c r="G277" s="74"/>
      <c r="H277" s="74"/>
      <c r="I277" s="74"/>
      <c r="J277" s="74"/>
      <c r="K277" s="192"/>
      <c r="L277" s="192"/>
      <c r="M277" s="75"/>
      <c r="N277" s="2"/>
      <c r="O277" s="2"/>
      <c r="P277" s="2"/>
      <c r="Q277" s="2"/>
      <c r="R277" s="2"/>
    </row>
    <row r="278" spans="1:18" x14ac:dyDescent="0.2">
      <c r="A278" s="2"/>
      <c r="B278" s="2"/>
      <c r="C278" s="74"/>
      <c r="D278" s="74"/>
      <c r="E278" s="74"/>
      <c r="F278" s="74"/>
      <c r="G278" s="74"/>
      <c r="H278" s="74"/>
      <c r="I278" s="74"/>
      <c r="J278" s="74"/>
      <c r="K278" s="192"/>
      <c r="L278" s="192"/>
      <c r="M278" s="75"/>
      <c r="N278" s="2"/>
      <c r="O278" s="2"/>
      <c r="P278" s="2"/>
      <c r="Q278" s="2"/>
      <c r="R278" s="2"/>
    </row>
    <row r="279" spans="1:18" x14ac:dyDescent="0.2">
      <c r="A279" s="2"/>
      <c r="B279" s="2"/>
      <c r="C279" s="74"/>
      <c r="D279" s="74"/>
      <c r="E279" s="74"/>
      <c r="F279" s="74"/>
      <c r="G279" s="74"/>
      <c r="H279" s="74"/>
      <c r="I279" s="74"/>
      <c r="J279" s="74"/>
      <c r="K279" s="192"/>
      <c r="L279" s="192"/>
      <c r="M279" s="75"/>
      <c r="N279" s="2"/>
      <c r="O279" s="2"/>
      <c r="P279" s="2"/>
      <c r="Q279" s="2"/>
      <c r="R279" s="2"/>
    </row>
    <row r="280" spans="1:18" x14ac:dyDescent="0.2">
      <c r="A280" s="2"/>
      <c r="B280" s="2"/>
      <c r="C280" s="74"/>
      <c r="D280" s="74"/>
      <c r="E280" s="74"/>
      <c r="F280" s="74"/>
      <c r="G280" s="74"/>
      <c r="H280" s="74"/>
      <c r="I280" s="74"/>
      <c r="J280" s="74"/>
      <c r="K280" s="192"/>
      <c r="L280" s="192"/>
      <c r="M280" s="75"/>
      <c r="N280" s="2"/>
      <c r="O280" s="2"/>
      <c r="P280" s="2"/>
      <c r="Q280" s="2"/>
      <c r="R280" s="2"/>
    </row>
    <row r="281" spans="1:18" x14ac:dyDescent="0.2">
      <c r="A281" s="2"/>
      <c r="B281" s="2"/>
      <c r="C281" s="74"/>
      <c r="D281" s="74"/>
      <c r="E281" s="74"/>
      <c r="F281" s="74"/>
      <c r="G281" s="74"/>
      <c r="H281" s="74"/>
      <c r="I281" s="74"/>
      <c r="J281" s="74"/>
      <c r="K281" s="192"/>
      <c r="L281" s="192"/>
      <c r="M281" s="75"/>
      <c r="N281" s="2"/>
      <c r="O281" s="2"/>
      <c r="P281" s="2"/>
      <c r="Q281" s="2"/>
      <c r="R281" s="2"/>
    </row>
    <row r="282" spans="1:18" x14ac:dyDescent="0.2">
      <c r="A282" s="2"/>
      <c r="B282" s="2"/>
      <c r="C282" s="74"/>
      <c r="D282" s="74"/>
      <c r="E282" s="74"/>
      <c r="F282" s="74"/>
      <c r="G282" s="74"/>
      <c r="H282" s="74"/>
      <c r="I282" s="74"/>
      <c r="J282" s="74"/>
      <c r="K282" s="192"/>
      <c r="L282" s="192"/>
      <c r="M282" s="75"/>
      <c r="N282" s="2"/>
      <c r="O282" s="2"/>
      <c r="P282" s="2"/>
      <c r="Q282" s="2"/>
      <c r="R282" s="2"/>
    </row>
    <row r="283" spans="1:18" x14ac:dyDescent="0.2">
      <c r="A283" s="2"/>
      <c r="B283" s="2"/>
      <c r="C283" s="74"/>
      <c r="D283" s="74"/>
      <c r="E283" s="74"/>
      <c r="F283" s="74"/>
      <c r="G283" s="74"/>
      <c r="H283" s="74"/>
      <c r="I283" s="74"/>
      <c r="J283" s="74"/>
      <c r="K283" s="192"/>
      <c r="L283" s="192"/>
      <c r="M283" s="75"/>
      <c r="N283" s="2"/>
      <c r="O283" s="2"/>
      <c r="P283" s="2"/>
      <c r="Q283" s="2"/>
      <c r="R283" s="2"/>
    </row>
    <row r="284" spans="1:18" x14ac:dyDescent="0.2">
      <c r="A284" s="2"/>
      <c r="B284" s="2"/>
      <c r="C284" s="74"/>
      <c r="D284" s="74"/>
      <c r="E284" s="74"/>
      <c r="F284" s="74"/>
      <c r="G284" s="74"/>
      <c r="H284" s="74"/>
      <c r="I284" s="74"/>
      <c r="J284" s="74"/>
      <c r="K284" s="192"/>
      <c r="L284" s="192"/>
      <c r="M284" s="75"/>
      <c r="N284" s="2"/>
      <c r="O284" s="2"/>
      <c r="P284" s="2"/>
      <c r="Q284" s="2"/>
      <c r="R284" s="2"/>
    </row>
    <row r="285" spans="1:18" x14ac:dyDescent="0.2">
      <c r="A285" s="2"/>
      <c r="B285" s="2"/>
      <c r="C285" s="74"/>
      <c r="D285" s="74"/>
      <c r="E285" s="74"/>
      <c r="F285" s="74"/>
      <c r="G285" s="74"/>
      <c r="H285" s="74"/>
      <c r="I285" s="74"/>
      <c r="J285" s="74"/>
      <c r="K285" s="192"/>
      <c r="L285" s="192"/>
      <c r="M285" s="75"/>
      <c r="N285" s="2"/>
      <c r="O285" s="2"/>
      <c r="P285" s="2"/>
      <c r="Q285" s="2"/>
      <c r="R285" s="2"/>
    </row>
    <row r="286" spans="1:18" x14ac:dyDescent="0.2">
      <c r="A286" s="2"/>
      <c r="B286" s="2"/>
      <c r="C286" s="74"/>
      <c r="D286" s="74"/>
      <c r="E286" s="74"/>
      <c r="F286" s="74"/>
      <c r="G286" s="74"/>
      <c r="H286" s="74"/>
      <c r="I286" s="74"/>
      <c r="J286" s="74"/>
      <c r="K286" s="192"/>
      <c r="L286" s="192"/>
      <c r="M286" s="75"/>
      <c r="N286" s="2"/>
      <c r="O286" s="2"/>
      <c r="P286" s="2"/>
      <c r="Q286" s="2"/>
      <c r="R286" s="2"/>
    </row>
    <row r="287" spans="1:18" x14ac:dyDescent="0.2">
      <c r="A287" s="2"/>
      <c r="B287" s="2"/>
      <c r="C287" s="74"/>
      <c r="D287" s="74"/>
      <c r="E287" s="74"/>
      <c r="F287" s="74"/>
      <c r="G287" s="74"/>
      <c r="H287" s="74"/>
      <c r="I287" s="74"/>
      <c r="J287" s="74"/>
      <c r="K287" s="192"/>
      <c r="L287" s="192"/>
      <c r="M287" s="75"/>
      <c r="N287" s="2"/>
      <c r="O287" s="2"/>
      <c r="P287" s="2"/>
      <c r="Q287" s="2"/>
      <c r="R287" s="2"/>
    </row>
    <row r="288" spans="1:18" x14ac:dyDescent="0.2">
      <c r="A288" s="2"/>
      <c r="B288" s="2"/>
      <c r="C288" s="74"/>
      <c r="D288" s="74"/>
      <c r="E288" s="74"/>
      <c r="F288" s="74"/>
      <c r="G288" s="74"/>
      <c r="H288" s="74"/>
      <c r="I288" s="74"/>
      <c r="J288" s="74"/>
      <c r="K288" s="192"/>
      <c r="L288" s="192"/>
      <c r="M288" s="75"/>
      <c r="N288" s="2"/>
      <c r="O288" s="2"/>
      <c r="P288" s="2"/>
      <c r="Q288" s="2"/>
      <c r="R288" s="2"/>
    </row>
    <row r="289" spans="1:18" x14ac:dyDescent="0.2">
      <c r="A289" s="2"/>
      <c r="B289" s="2"/>
      <c r="C289" s="74"/>
      <c r="D289" s="74"/>
      <c r="E289" s="74"/>
      <c r="F289" s="74"/>
      <c r="G289" s="74"/>
      <c r="H289" s="74"/>
      <c r="I289" s="74"/>
      <c r="J289" s="74"/>
      <c r="K289" s="192"/>
      <c r="L289" s="192"/>
      <c r="M289" s="75"/>
      <c r="N289" s="2"/>
      <c r="O289" s="2"/>
      <c r="P289" s="2"/>
      <c r="Q289" s="2"/>
      <c r="R289" s="2"/>
    </row>
    <row r="290" spans="1:18" x14ac:dyDescent="0.2">
      <c r="A290" s="2"/>
      <c r="B290" s="2"/>
      <c r="C290" s="74"/>
      <c r="D290" s="74"/>
      <c r="E290" s="74"/>
      <c r="F290" s="74"/>
      <c r="G290" s="74"/>
      <c r="H290" s="74"/>
      <c r="I290" s="74"/>
      <c r="J290" s="74"/>
      <c r="K290" s="192"/>
      <c r="L290" s="192"/>
      <c r="M290" s="75"/>
      <c r="N290" s="2"/>
      <c r="O290" s="2"/>
      <c r="P290" s="2"/>
      <c r="Q290" s="2"/>
      <c r="R290" s="2"/>
    </row>
    <row r="291" spans="1:18" x14ac:dyDescent="0.2">
      <c r="A291" s="2"/>
      <c r="B291" s="2"/>
      <c r="C291" s="74"/>
      <c r="D291" s="74"/>
      <c r="E291" s="74"/>
      <c r="F291" s="74"/>
      <c r="G291" s="74"/>
      <c r="H291" s="74"/>
      <c r="I291" s="74"/>
      <c r="J291" s="74"/>
      <c r="K291" s="192"/>
      <c r="L291" s="192"/>
      <c r="M291" s="75"/>
      <c r="N291" s="2"/>
      <c r="O291" s="2"/>
      <c r="P291" s="2"/>
      <c r="Q291" s="2"/>
      <c r="R291" s="2"/>
    </row>
    <row r="292" spans="1:18" x14ac:dyDescent="0.2">
      <c r="A292" s="2"/>
      <c r="B292" s="2"/>
      <c r="C292" s="74"/>
      <c r="D292" s="74"/>
      <c r="E292" s="74"/>
      <c r="F292" s="74"/>
      <c r="G292" s="74"/>
      <c r="H292" s="74"/>
      <c r="I292" s="74"/>
      <c r="J292" s="74"/>
      <c r="K292" s="192"/>
      <c r="L292" s="192"/>
      <c r="M292" s="75"/>
      <c r="N292" s="2"/>
      <c r="O292" s="2"/>
      <c r="P292" s="2"/>
      <c r="Q292" s="2"/>
      <c r="R292" s="2"/>
    </row>
    <row r="293" spans="1:18" x14ac:dyDescent="0.2">
      <c r="A293" s="2"/>
      <c r="B293" s="2"/>
      <c r="C293" s="74"/>
      <c r="D293" s="74"/>
      <c r="E293" s="74"/>
      <c r="F293" s="74"/>
      <c r="G293" s="74"/>
      <c r="H293" s="74"/>
      <c r="I293" s="74"/>
      <c r="J293" s="74"/>
      <c r="K293" s="192"/>
      <c r="L293" s="192"/>
      <c r="M293" s="75"/>
      <c r="N293" s="2"/>
      <c r="O293" s="2"/>
      <c r="P293" s="2"/>
      <c r="Q293" s="2"/>
      <c r="R293" s="2"/>
    </row>
    <row r="294" spans="1:18" x14ac:dyDescent="0.2">
      <c r="A294" s="2"/>
      <c r="B294" s="2"/>
      <c r="C294" s="74"/>
      <c r="D294" s="74"/>
      <c r="E294" s="74"/>
      <c r="F294" s="74"/>
      <c r="G294" s="74"/>
      <c r="H294" s="74"/>
      <c r="I294" s="74"/>
      <c r="J294" s="74"/>
      <c r="K294" s="192"/>
      <c r="L294" s="192"/>
      <c r="M294" s="75"/>
      <c r="N294" s="2"/>
      <c r="O294" s="2"/>
      <c r="P294" s="2"/>
      <c r="Q294" s="2"/>
      <c r="R294" s="2"/>
    </row>
    <row r="295" spans="1:18" x14ac:dyDescent="0.2">
      <c r="A295" s="2"/>
      <c r="B295" s="2"/>
      <c r="C295" s="74"/>
      <c r="D295" s="74"/>
      <c r="E295" s="74"/>
      <c r="F295" s="74"/>
      <c r="G295" s="74"/>
      <c r="H295" s="74"/>
      <c r="I295" s="74"/>
      <c r="J295" s="74"/>
      <c r="K295" s="192"/>
      <c r="L295" s="192"/>
      <c r="M295" s="75"/>
      <c r="N295" s="2"/>
      <c r="O295" s="2"/>
      <c r="P295" s="2"/>
      <c r="Q295" s="2"/>
      <c r="R295" s="2"/>
    </row>
    <row r="296" spans="1:18" x14ac:dyDescent="0.2">
      <c r="A296" s="2"/>
      <c r="B296" s="2"/>
      <c r="C296" s="74"/>
      <c r="D296" s="74"/>
      <c r="E296" s="74"/>
      <c r="F296" s="74"/>
      <c r="G296" s="74"/>
      <c r="H296" s="74"/>
      <c r="I296" s="74"/>
      <c r="J296" s="74"/>
      <c r="K296" s="192"/>
      <c r="L296" s="192"/>
      <c r="M296" s="75"/>
      <c r="N296" s="2"/>
      <c r="O296" s="2"/>
      <c r="P296" s="2"/>
      <c r="Q296" s="2"/>
      <c r="R296" s="2"/>
    </row>
    <row r="297" spans="1:18" x14ac:dyDescent="0.2">
      <c r="A297" s="2"/>
      <c r="B297" s="2"/>
      <c r="C297" s="74"/>
      <c r="D297" s="74"/>
      <c r="E297" s="74"/>
      <c r="F297" s="74"/>
      <c r="G297" s="74"/>
      <c r="H297" s="74"/>
      <c r="I297" s="74"/>
      <c r="J297" s="74"/>
      <c r="K297" s="192"/>
      <c r="L297" s="192"/>
      <c r="M297" s="75"/>
      <c r="N297" s="2"/>
      <c r="O297" s="2"/>
      <c r="P297" s="2"/>
      <c r="Q297" s="2"/>
      <c r="R297" s="2"/>
    </row>
    <row r="298" spans="1:18" x14ac:dyDescent="0.2">
      <c r="A298" s="2"/>
      <c r="B298" s="2"/>
      <c r="C298" s="74"/>
      <c r="D298" s="74"/>
      <c r="E298" s="74"/>
      <c r="F298" s="74"/>
      <c r="G298" s="74"/>
      <c r="H298" s="74"/>
      <c r="I298" s="74"/>
      <c r="J298" s="74"/>
      <c r="K298" s="192"/>
      <c r="L298" s="192"/>
      <c r="M298" s="75"/>
      <c r="N298" s="2"/>
      <c r="O298" s="2"/>
      <c r="P298" s="2"/>
      <c r="Q298" s="2"/>
      <c r="R298" s="2"/>
    </row>
    <row r="299" spans="1:18" x14ac:dyDescent="0.2">
      <c r="A299" s="2"/>
      <c r="B299" s="2"/>
      <c r="C299" s="74"/>
      <c r="D299" s="74"/>
      <c r="E299" s="74"/>
      <c r="F299" s="74"/>
      <c r="G299" s="74"/>
      <c r="H299" s="74"/>
      <c r="I299" s="74"/>
      <c r="J299" s="74"/>
      <c r="K299" s="192"/>
      <c r="L299" s="192"/>
      <c r="M299" s="75"/>
      <c r="N299" s="2"/>
      <c r="O299" s="2"/>
      <c r="P299" s="2"/>
      <c r="Q299" s="2"/>
      <c r="R299" s="2"/>
    </row>
    <row r="300" spans="1:18" x14ac:dyDescent="0.2">
      <c r="A300" s="2"/>
      <c r="B300" s="2"/>
      <c r="C300" s="74"/>
      <c r="D300" s="74"/>
      <c r="E300" s="74"/>
      <c r="F300" s="74"/>
      <c r="G300" s="74"/>
      <c r="H300" s="74"/>
      <c r="I300" s="74"/>
      <c r="J300" s="74"/>
      <c r="K300" s="192"/>
      <c r="L300" s="192"/>
      <c r="M300" s="75"/>
      <c r="N300" s="2"/>
      <c r="O300" s="2"/>
      <c r="P300" s="2"/>
      <c r="Q300" s="2"/>
      <c r="R300" s="2"/>
    </row>
    <row r="301" spans="1:18" x14ac:dyDescent="0.2">
      <c r="A301" s="2"/>
      <c r="B301" s="2"/>
      <c r="C301" s="74"/>
      <c r="D301" s="74"/>
      <c r="E301" s="74"/>
      <c r="F301" s="74"/>
      <c r="G301" s="74"/>
      <c r="H301" s="74"/>
      <c r="I301" s="74"/>
      <c r="J301" s="74"/>
      <c r="K301" s="192"/>
      <c r="L301" s="192"/>
      <c r="M301" s="75"/>
      <c r="N301" s="2"/>
      <c r="O301" s="2"/>
      <c r="P301" s="2"/>
      <c r="Q301" s="2"/>
      <c r="R301" s="2"/>
    </row>
    <row r="302" spans="1:18" x14ac:dyDescent="0.2">
      <c r="A302" s="2"/>
      <c r="B302" s="2"/>
      <c r="C302" s="74"/>
      <c r="D302" s="74"/>
      <c r="E302" s="74"/>
      <c r="F302" s="74"/>
      <c r="G302" s="74"/>
      <c r="H302" s="74"/>
      <c r="I302" s="74"/>
      <c r="J302" s="74"/>
      <c r="K302" s="192"/>
      <c r="L302" s="192"/>
      <c r="M302" s="75"/>
      <c r="N302" s="2"/>
      <c r="O302" s="2"/>
      <c r="P302" s="2"/>
      <c r="Q302" s="2"/>
      <c r="R302" s="2"/>
    </row>
    <row r="303" spans="1:18" x14ac:dyDescent="0.2">
      <c r="A303" s="2"/>
      <c r="B303" s="2"/>
      <c r="C303" s="74"/>
      <c r="D303" s="74"/>
      <c r="E303" s="74"/>
      <c r="F303" s="74"/>
      <c r="G303" s="74"/>
      <c r="H303" s="74"/>
      <c r="I303" s="74"/>
      <c r="J303" s="74"/>
      <c r="K303" s="192"/>
      <c r="L303" s="192"/>
      <c r="M303" s="75"/>
      <c r="N303" s="2"/>
      <c r="O303" s="2"/>
      <c r="P303" s="2"/>
      <c r="Q303" s="2"/>
      <c r="R303" s="2"/>
    </row>
    <row r="304" spans="1:18" x14ac:dyDescent="0.2">
      <c r="A304" s="2"/>
      <c r="B304" s="2"/>
      <c r="C304" s="74"/>
      <c r="D304" s="74"/>
      <c r="E304" s="74"/>
      <c r="F304" s="74"/>
      <c r="G304" s="74"/>
      <c r="H304" s="74"/>
      <c r="I304" s="74"/>
      <c r="J304" s="74"/>
      <c r="K304" s="192"/>
      <c r="L304" s="192"/>
      <c r="M304" s="75"/>
      <c r="N304" s="2"/>
      <c r="O304" s="2"/>
      <c r="P304" s="2"/>
      <c r="Q304" s="2"/>
      <c r="R304" s="2"/>
    </row>
    <row r="305" spans="1:18" x14ac:dyDescent="0.2">
      <c r="A305" s="2"/>
      <c r="B305" s="2"/>
      <c r="C305" s="74"/>
      <c r="D305" s="74"/>
      <c r="E305" s="74"/>
      <c r="F305" s="74"/>
      <c r="G305" s="74"/>
      <c r="H305" s="74"/>
      <c r="I305" s="74"/>
      <c r="J305" s="74"/>
      <c r="K305" s="192"/>
      <c r="L305" s="192"/>
      <c r="M305" s="75"/>
      <c r="N305" s="2"/>
      <c r="O305" s="2"/>
      <c r="P305" s="2"/>
      <c r="Q305" s="2"/>
      <c r="R305" s="2"/>
    </row>
    <row r="306" spans="1:18" x14ac:dyDescent="0.2">
      <c r="A306" s="2"/>
      <c r="B306" s="2"/>
      <c r="C306" s="74"/>
      <c r="D306" s="74"/>
      <c r="E306" s="74"/>
      <c r="F306" s="74"/>
      <c r="G306" s="74"/>
      <c r="H306" s="74"/>
      <c r="I306" s="74"/>
      <c r="J306" s="74"/>
      <c r="K306" s="192"/>
      <c r="L306" s="192"/>
      <c r="M306" s="75"/>
      <c r="N306" s="2"/>
      <c r="O306" s="2"/>
      <c r="P306" s="2"/>
      <c r="Q306" s="2"/>
      <c r="R306" s="2"/>
    </row>
    <row r="307" spans="1:18" x14ac:dyDescent="0.2">
      <c r="A307" s="2"/>
      <c r="B307" s="2"/>
      <c r="C307" s="74"/>
      <c r="D307" s="74"/>
      <c r="E307" s="74"/>
      <c r="F307" s="74"/>
      <c r="G307" s="74"/>
      <c r="H307" s="74"/>
      <c r="I307" s="74"/>
      <c r="J307" s="74"/>
      <c r="K307" s="192"/>
      <c r="L307" s="192"/>
      <c r="M307" s="75"/>
      <c r="N307" s="2"/>
      <c r="O307" s="2"/>
      <c r="P307" s="2"/>
      <c r="Q307" s="2"/>
      <c r="R307" s="2"/>
    </row>
    <row r="308" spans="1:18" x14ac:dyDescent="0.2">
      <c r="A308" s="2"/>
      <c r="B308" s="2"/>
      <c r="C308" s="74"/>
      <c r="D308" s="74"/>
      <c r="E308" s="74"/>
      <c r="F308" s="74"/>
      <c r="G308" s="74"/>
      <c r="H308" s="74"/>
      <c r="I308" s="74"/>
      <c r="J308" s="74"/>
      <c r="K308" s="192"/>
      <c r="L308" s="192"/>
      <c r="M308" s="75"/>
      <c r="N308" s="2"/>
      <c r="O308" s="2"/>
      <c r="P308" s="2"/>
      <c r="Q308" s="2"/>
      <c r="R308" s="2"/>
    </row>
    <row r="309" spans="1:18" x14ac:dyDescent="0.2">
      <c r="A309" s="2"/>
      <c r="B309" s="2"/>
      <c r="C309" s="74"/>
      <c r="D309" s="74"/>
      <c r="E309" s="74"/>
      <c r="F309" s="74"/>
      <c r="G309" s="74"/>
      <c r="H309" s="74"/>
      <c r="I309" s="74"/>
      <c r="J309" s="74"/>
      <c r="K309" s="192"/>
      <c r="L309" s="192"/>
      <c r="M309" s="75"/>
      <c r="N309" s="2"/>
      <c r="O309" s="2"/>
      <c r="P309" s="2"/>
      <c r="Q309" s="2"/>
      <c r="R309" s="2"/>
    </row>
    <row r="310" spans="1:18" x14ac:dyDescent="0.2">
      <c r="A310" s="2"/>
      <c r="B310" s="2"/>
      <c r="C310" s="74"/>
      <c r="D310" s="74"/>
      <c r="E310" s="74"/>
      <c r="F310" s="74"/>
      <c r="G310" s="74"/>
      <c r="H310" s="74"/>
      <c r="I310" s="74"/>
      <c r="J310" s="74"/>
      <c r="K310" s="192"/>
      <c r="L310" s="192"/>
      <c r="M310" s="75"/>
      <c r="N310" s="2"/>
      <c r="O310" s="2"/>
      <c r="P310" s="2"/>
      <c r="Q310" s="2"/>
      <c r="R310" s="2"/>
    </row>
    <row r="311" spans="1:18" x14ac:dyDescent="0.2">
      <c r="A311" s="2"/>
      <c r="B311" s="2"/>
      <c r="C311" s="74"/>
      <c r="D311" s="74"/>
      <c r="E311" s="74"/>
      <c r="F311" s="74"/>
      <c r="G311" s="74"/>
      <c r="H311" s="74"/>
      <c r="I311" s="74"/>
      <c r="J311" s="74"/>
      <c r="K311" s="192"/>
      <c r="L311" s="192"/>
      <c r="M311" s="75"/>
      <c r="N311" s="2"/>
      <c r="O311" s="2"/>
      <c r="P311" s="2"/>
      <c r="Q311" s="2"/>
      <c r="R311" s="2"/>
    </row>
    <row r="312" spans="1:18" x14ac:dyDescent="0.2">
      <c r="A312" s="2"/>
      <c r="B312" s="2"/>
      <c r="C312" s="74"/>
      <c r="D312" s="74"/>
      <c r="E312" s="74"/>
      <c r="F312" s="74"/>
      <c r="G312" s="74"/>
      <c r="H312" s="74"/>
      <c r="I312" s="74"/>
      <c r="J312" s="74"/>
      <c r="K312" s="192"/>
      <c r="L312" s="192"/>
      <c r="M312" s="75"/>
      <c r="N312" s="2"/>
      <c r="O312" s="2"/>
      <c r="P312" s="2"/>
      <c r="Q312" s="2"/>
      <c r="R312" s="2"/>
    </row>
    <row r="313" spans="1:18" x14ac:dyDescent="0.2">
      <c r="A313" s="2"/>
      <c r="B313" s="2"/>
      <c r="C313" s="74"/>
      <c r="D313" s="74"/>
      <c r="E313" s="74"/>
      <c r="F313" s="74"/>
      <c r="G313" s="74"/>
      <c r="H313" s="74"/>
      <c r="I313" s="74"/>
      <c r="J313" s="74"/>
      <c r="K313" s="192"/>
      <c r="L313" s="192"/>
      <c r="M313" s="75"/>
      <c r="N313" s="2"/>
      <c r="O313" s="2"/>
      <c r="P313" s="2"/>
      <c r="Q313" s="2"/>
      <c r="R313" s="2"/>
    </row>
    <row r="314" spans="1:18" x14ac:dyDescent="0.2">
      <c r="A314" s="2"/>
      <c r="B314" s="2"/>
      <c r="C314" s="74"/>
      <c r="D314" s="74"/>
      <c r="E314" s="74"/>
      <c r="F314" s="74"/>
      <c r="G314" s="74"/>
      <c r="H314" s="74"/>
      <c r="I314" s="74"/>
      <c r="J314" s="74"/>
      <c r="K314" s="192"/>
      <c r="L314" s="192"/>
      <c r="M314" s="75"/>
      <c r="N314" s="2"/>
      <c r="O314" s="2"/>
      <c r="P314" s="2"/>
      <c r="Q314" s="2"/>
      <c r="R314" s="2"/>
    </row>
    <row r="315" spans="1:18" x14ac:dyDescent="0.2">
      <c r="A315" s="2"/>
      <c r="B315" s="2"/>
      <c r="C315" s="74"/>
      <c r="D315" s="74"/>
      <c r="E315" s="74"/>
      <c r="F315" s="74"/>
      <c r="G315" s="74"/>
      <c r="H315" s="74"/>
      <c r="I315" s="74"/>
      <c r="J315" s="74"/>
      <c r="K315" s="192"/>
      <c r="L315" s="192"/>
      <c r="M315" s="75"/>
      <c r="N315" s="2"/>
      <c r="O315" s="2"/>
      <c r="P315" s="2"/>
      <c r="Q315" s="2"/>
      <c r="R315" s="2"/>
    </row>
    <row r="316" spans="1:18" x14ac:dyDescent="0.2">
      <c r="A316" s="2"/>
      <c r="B316" s="2"/>
      <c r="C316" s="74"/>
      <c r="D316" s="74"/>
      <c r="E316" s="74"/>
      <c r="F316" s="74"/>
      <c r="G316" s="74"/>
      <c r="H316" s="74"/>
      <c r="I316" s="74"/>
      <c r="J316" s="74"/>
      <c r="K316" s="192"/>
      <c r="L316" s="192"/>
      <c r="M316" s="75"/>
      <c r="N316" s="2"/>
      <c r="O316" s="2"/>
      <c r="P316" s="2"/>
      <c r="Q316" s="2"/>
      <c r="R316" s="2"/>
    </row>
    <row r="317" spans="1:18" x14ac:dyDescent="0.2">
      <c r="A317" s="2"/>
      <c r="B317" s="2"/>
      <c r="C317" s="74"/>
      <c r="D317" s="74"/>
      <c r="E317" s="74"/>
      <c r="F317" s="74"/>
      <c r="G317" s="74"/>
      <c r="H317" s="74"/>
      <c r="I317" s="74"/>
      <c r="J317" s="74"/>
      <c r="K317" s="192"/>
      <c r="L317" s="192"/>
      <c r="M317" s="75"/>
      <c r="N317" s="2"/>
      <c r="O317" s="2"/>
      <c r="P317" s="2"/>
      <c r="Q317" s="2"/>
      <c r="R317" s="2"/>
    </row>
    <row r="318" spans="1:18" x14ac:dyDescent="0.2">
      <c r="A318" s="2"/>
      <c r="B318" s="2"/>
      <c r="C318" s="74"/>
      <c r="D318" s="74"/>
      <c r="E318" s="74"/>
      <c r="F318" s="74"/>
      <c r="G318" s="74"/>
      <c r="H318" s="74"/>
      <c r="I318" s="74"/>
      <c r="J318" s="74"/>
      <c r="K318" s="192"/>
      <c r="L318" s="192"/>
      <c r="M318" s="75"/>
      <c r="N318" s="2"/>
      <c r="O318" s="2"/>
      <c r="P318" s="2"/>
      <c r="Q318" s="2"/>
      <c r="R318" s="2"/>
    </row>
    <row r="319" spans="1:18" x14ac:dyDescent="0.2">
      <c r="A319" s="2"/>
      <c r="B319" s="2"/>
      <c r="C319" s="74"/>
      <c r="D319" s="74"/>
      <c r="E319" s="74"/>
      <c r="F319" s="74"/>
      <c r="G319" s="74"/>
      <c r="H319" s="74"/>
      <c r="I319" s="74"/>
      <c r="J319" s="74"/>
      <c r="K319" s="192"/>
      <c r="L319" s="192"/>
      <c r="M319" s="75"/>
      <c r="N319" s="2"/>
      <c r="O319" s="2"/>
      <c r="P319" s="2"/>
      <c r="Q319" s="2"/>
      <c r="R319" s="2"/>
    </row>
    <row r="320" spans="1:18" x14ac:dyDescent="0.2">
      <c r="A320" s="2"/>
      <c r="B320" s="2"/>
      <c r="C320" s="74"/>
      <c r="D320" s="74"/>
      <c r="E320" s="74"/>
      <c r="F320" s="74"/>
      <c r="G320" s="74"/>
      <c r="H320" s="74"/>
      <c r="I320" s="74"/>
      <c r="J320" s="74"/>
      <c r="K320" s="192"/>
      <c r="L320" s="192"/>
      <c r="M320" s="75"/>
      <c r="N320" s="2"/>
      <c r="O320" s="2"/>
      <c r="P320" s="2"/>
      <c r="Q320" s="2"/>
      <c r="R320" s="2"/>
    </row>
    <row r="321" spans="1:18" x14ac:dyDescent="0.2">
      <c r="A321" s="2"/>
      <c r="B321" s="2"/>
      <c r="C321" s="74"/>
      <c r="D321" s="74"/>
      <c r="E321" s="74"/>
      <c r="F321" s="74"/>
      <c r="G321" s="74"/>
      <c r="H321" s="74"/>
      <c r="I321" s="74"/>
      <c r="J321" s="74"/>
      <c r="K321" s="192"/>
      <c r="L321" s="192"/>
      <c r="M321" s="75"/>
      <c r="N321" s="2"/>
      <c r="O321" s="2"/>
      <c r="P321" s="2"/>
      <c r="Q321" s="2"/>
      <c r="R321" s="2"/>
    </row>
    <row r="322" spans="1:18" x14ac:dyDescent="0.2">
      <c r="A322" s="2"/>
      <c r="B322" s="2"/>
      <c r="C322" s="74"/>
      <c r="D322" s="74"/>
      <c r="E322" s="74"/>
      <c r="F322" s="74"/>
      <c r="G322" s="74"/>
      <c r="H322" s="74"/>
      <c r="I322" s="74"/>
      <c r="J322" s="74"/>
      <c r="K322" s="192"/>
      <c r="L322" s="192"/>
      <c r="M322" s="75"/>
      <c r="N322" s="2"/>
      <c r="O322" s="2"/>
      <c r="P322" s="2"/>
      <c r="Q322" s="2"/>
      <c r="R322" s="2"/>
    </row>
    <row r="323" spans="1:18" x14ac:dyDescent="0.2">
      <c r="A323" s="2"/>
      <c r="B323" s="2"/>
      <c r="C323" s="74"/>
      <c r="D323" s="74"/>
      <c r="E323" s="74"/>
      <c r="F323" s="74"/>
      <c r="G323" s="74"/>
      <c r="H323" s="74"/>
      <c r="I323" s="74"/>
      <c r="J323" s="74"/>
      <c r="K323" s="192"/>
      <c r="L323" s="192"/>
      <c r="M323" s="75"/>
      <c r="N323" s="2"/>
      <c r="O323" s="2"/>
      <c r="P323" s="2"/>
      <c r="Q323" s="2"/>
      <c r="R323" s="2"/>
    </row>
    <row r="324" spans="1:18" x14ac:dyDescent="0.2">
      <c r="A324" s="2"/>
      <c r="B324" s="2"/>
      <c r="C324" s="74"/>
      <c r="D324" s="74"/>
      <c r="E324" s="74"/>
      <c r="F324" s="74"/>
      <c r="G324" s="74"/>
      <c r="H324" s="74"/>
      <c r="I324" s="74"/>
      <c r="J324" s="74"/>
      <c r="K324" s="192"/>
      <c r="L324" s="192"/>
      <c r="M324" s="75"/>
      <c r="N324" s="2"/>
      <c r="O324" s="2"/>
      <c r="P324" s="2"/>
      <c r="Q324" s="2"/>
      <c r="R324" s="2"/>
    </row>
    <row r="325" spans="1:18" x14ac:dyDescent="0.2">
      <c r="A325" s="2"/>
      <c r="B325" s="2"/>
      <c r="C325" s="74"/>
      <c r="D325" s="74"/>
      <c r="E325" s="74"/>
      <c r="F325" s="74"/>
      <c r="G325" s="74"/>
      <c r="H325" s="74"/>
      <c r="I325" s="74"/>
      <c r="J325" s="74"/>
      <c r="K325" s="192"/>
      <c r="L325" s="192"/>
      <c r="M325" s="75"/>
      <c r="N325" s="2"/>
      <c r="O325" s="2"/>
      <c r="P325" s="2"/>
      <c r="Q325" s="2"/>
      <c r="R325" s="2"/>
    </row>
    <row r="326" spans="1:18" x14ac:dyDescent="0.2">
      <c r="A326" s="2"/>
      <c r="B326" s="2"/>
      <c r="C326" s="74"/>
      <c r="D326" s="74"/>
      <c r="E326" s="74"/>
      <c r="F326" s="74"/>
      <c r="G326" s="74"/>
      <c r="H326" s="74"/>
      <c r="I326" s="74"/>
      <c r="J326" s="74"/>
      <c r="K326" s="192"/>
      <c r="L326" s="192"/>
      <c r="M326" s="75"/>
      <c r="N326" s="2"/>
      <c r="O326" s="2"/>
      <c r="P326" s="2"/>
      <c r="Q326" s="2"/>
      <c r="R326" s="2"/>
    </row>
    <row r="327" spans="1:18" x14ac:dyDescent="0.2">
      <c r="A327" s="2"/>
      <c r="B327" s="2"/>
      <c r="C327" s="74"/>
      <c r="D327" s="74"/>
      <c r="E327" s="74"/>
      <c r="F327" s="74"/>
      <c r="G327" s="74"/>
      <c r="H327" s="74"/>
      <c r="I327" s="74"/>
      <c r="J327" s="74"/>
      <c r="K327" s="192"/>
      <c r="L327" s="192"/>
      <c r="M327" s="75"/>
      <c r="N327" s="2"/>
      <c r="O327" s="2"/>
      <c r="P327" s="2"/>
      <c r="Q327" s="2"/>
      <c r="R327" s="2"/>
    </row>
    <row r="328" spans="1:18" x14ac:dyDescent="0.2">
      <c r="A328" s="2"/>
      <c r="B328" s="2"/>
      <c r="C328" s="74"/>
      <c r="D328" s="74"/>
      <c r="E328" s="74"/>
      <c r="F328" s="74"/>
      <c r="G328" s="74"/>
      <c r="H328" s="74"/>
      <c r="I328" s="74"/>
      <c r="J328" s="74"/>
      <c r="K328" s="192"/>
      <c r="L328" s="192"/>
      <c r="M328" s="75"/>
      <c r="N328" s="2"/>
      <c r="O328" s="2"/>
      <c r="P328" s="2"/>
      <c r="Q328" s="2"/>
      <c r="R328" s="2"/>
    </row>
    <row r="329" spans="1:18" x14ac:dyDescent="0.2">
      <c r="A329" s="2"/>
      <c r="B329" s="2"/>
      <c r="C329" s="74"/>
      <c r="D329" s="74"/>
      <c r="E329" s="74"/>
      <c r="F329" s="74"/>
      <c r="G329" s="74"/>
      <c r="H329" s="74"/>
      <c r="I329" s="74"/>
      <c r="J329" s="74"/>
      <c r="K329" s="192"/>
      <c r="L329" s="192"/>
      <c r="M329" s="75"/>
      <c r="N329" s="2"/>
      <c r="O329" s="2"/>
      <c r="P329" s="2"/>
      <c r="Q329" s="2"/>
      <c r="R329" s="2"/>
    </row>
    <row r="330" spans="1:18" x14ac:dyDescent="0.2">
      <c r="A330" s="2"/>
      <c r="B330" s="2"/>
      <c r="C330" s="74"/>
      <c r="D330" s="74"/>
      <c r="E330" s="74"/>
      <c r="F330" s="74"/>
      <c r="G330" s="74"/>
      <c r="H330" s="74"/>
      <c r="I330" s="74"/>
      <c r="J330" s="74"/>
      <c r="K330" s="192"/>
      <c r="L330" s="192"/>
      <c r="M330" s="75"/>
      <c r="N330" s="2"/>
      <c r="O330" s="2"/>
      <c r="P330" s="2"/>
      <c r="Q330" s="2"/>
      <c r="R330" s="2"/>
    </row>
    <row r="331" spans="1:18" x14ac:dyDescent="0.2">
      <c r="A331" s="2"/>
      <c r="B331" s="2"/>
      <c r="C331" s="74"/>
      <c r="D331" s="74"/>
      <c r="E331" s="74"/>
      <c r="F331" s="74"/>
      <c r="G331" s="74"/>
      <c r="H331" s="74"/>
      <c r="I331" s="74"/>
      <c r="J331" s="74"/>
      <c r="K331" s="192"/>
      <c r="L331" s="192"/>
      <c r="M331" s="75"/>
      <c r="N331" s="2"/>
      <c r="O331" s="2"/>
      <c r="P331" s="2"/>
      <c r="Q331" s="2"/>
      <c r="R331" s="2"/>
    </row>
    <row r="332" spans="1:18" x14ac:dyDescent="0.2">
      <c r="A332" s="2"/>
      <c r="B332" s="2"/>
      <c r="C332" s="74"/>
      <c r="D332" s="74"/>
      <c r="E332" s="74"/>
      <c r="F332" s="74"/>
      <c r="G332" s="74"/>
      <c r="H332" s="74"/>
      <c r="I332" s="74"/>
      <c r="J332" s="74"/>
      <c r="K332" s="192"/>
      <c r="L332" s="192"/>
      <c r="M332" s="75"/>
      <c r="N332" s="2"/>
      <c r="O332" s="2"/>
      <c r="P332" s="2"/>
      <c r="Q332" s="2"/>
      <c r="R332" s="2"/>
    </row>
    <row r="333" spans="1:18" x14ac:dyDescent="0.2">
      <c r="A333" s="2"/>
      <c r="B333" s="2"/>
      <c r="C333" s="74"/>
      <c r="D333" s="74"/>
      <c r="E333" s="74"/>
      <c r="F333" s="74"/>
      <c r="G333" s="74"/>
      <c r="H333" s="74"/>
      <c r="I333" s="74"/>
      <c r="J333" s="74"/>
      <c r="K333" s="192"/>
      <c r="L333" s="192"/>
      <c r="M333" s="75"/>
      <c r="N333" s="2"/>
      <c r="O333" s="2"/>
      <c r="P333" s="2"/>
      <c r="Q333" s="2"/>
      <c r="R333" s="2"/>
    </row>
    <row r="334" spans="1:18" x14ac:dyDescent="0.2">
      <c r="A334" s="2"/>
      <c r="B334" s="2"/>
      <c r="C334" s="74"/>
      <c r="D334" s="74"/>
      <c r="E334" s="74"/>
      <c r="F334" s="74"/>
      <c r="G334" s="74"/>
      <c r="H334" s="74"/>
      <c r="I334" s="74"/>
      <c r="J334" s="74"/>
      <c r="K334" s="192"/>
      <c r="L334" s="192"/>
      <c r="M334" s="75"/>
      <c r="N334" s="2"/>
      <c r="O334" s="2"/>
      <c r="P334" s="2"/>
      <c r="Q334" s="2"/>
      <c r="R334" s="2"/>
    </row>
    <row r="335" spans="1:18" x14ac:dyDescent="0.2">
      <c r="A335" s="2"/>
      <c r="B335" s="2"/>
      <c r="C335" s="74"/>
      <c r="D335" s="74"/>
      <c r="E335" s="74"/>
      <c r="F335" s="74"/>
      <c r="G335" s="74"/>
      <c r="H335" s="74"/>
      <c r="I335" s="74"/>
      <c r="J335" s="74"/>
      <c r="K335" s="192"/>
      <c r="L335" s="192"/>
      <c r="M335" s="75"/>
      <c r="N335" s="2"/>
      <c r="O335" s="2"/>
      <c r="P335" s="2"/>
      <c r="Q335" s="2"/>
      <c r="R335" s="2"/>
    </row>
    <row r="336" spans="1:18" x14ac:dyDescent="0.2">
      <c r="A336" s="2"/>
      <c r="B336" s="2"/>
      <c r="C336" s="74"/>
      <c r="D336" s="74"/>
      <c r="E336" s="74"/>
      <c r="F336" s="74"/>
      <c r="G336" s="74"/>
      <c r="H336" s="74"/>
      <c r="I336" s="74"/>
      <c r="J336" s="74"/>
      <c r="K336" s="192"/>
      <c r="L336" s="192"/>
      <c r="M336" s="75"/>
      <c r="N336" s="2"/>
      <c r="O336" s="2"/>
      <c r="P336" s="2"/>
      <c r="Q336" s="2"/>
      <c r="R336" s="2"/>
    </row>
    <row r="337" spans="1:18" x14ac:dyDescent="0.2">
      <c r="A337" s="2"/>
      <c r="B337" s="2"/>
      <c r="C337" s="74"/>
      <c r="D337" s="74"/>
      <c r="E337" s="74"/>
      <c r="F337" s="74"/>
      <c r="G337" s="74"/>
      <c r="H337" s="74"/>
      <c r="I337" s="74"/>
      <c r="J337" s="74"/>
      <c r="K337" s="192"/>
      <c r="L337" s="192"/>
      <c r="M337" s="75"/>
      <c r="N337" s="2"/>
      <c r="O337" s="2"/>
      <c r="P337" s="2"/>
      <c r="Q337" s="2"/>
      <c r="R337" s="2"/>
    </row>
    <row r="338" spans="1:18" x14ac:dyDescent="0.2">
      <c r="A338" s="2"/>
      <c r="B338" s="2"/>
      <c r="C338" s="74"/>
      <c r="D338" s="74"/>
      <c r="E338" s="74"/>
      <c r="F338" s="74"/>
      <c r="G338" s="74"/>
      <c r="H338" s="74"/>
      <c r="I338" s="74"/>
      <c r="J338" s="74"/>
      <c r="K338" s="192"/>
      <c r="L338" s="192"/>
      <c r="M338" s="75"/>
      <c r="N338" s="2"/>
      <c r="O338" s="2"/>
      <c r="P338" s="2"/>
      <c r="Q338" s="2"/>
      <c r="R338" s="2"/>
    </row>
    <row r="339" spans="1:18" x14ac:dyDescent="0.2">
      <c r="A339" s="2"/>
      <c r="B339" s="2"/>
      <c r="C339" s="74"/>
      <c r="D339" s="74"/>
      <c r="E339" s="74"/>
      <c r="F339" s="74"/>
      <c r="G339" s="74"/>
      <c r="H339" s="74"/>
      <c r="I339" s="74"/>
      <c r="J339" s="74"/>
      <c r="K339" s="192"/>
      <c r="L339" s="192"/>
      <c r="M339" s="75"/>
      <c r="N339" s="2"/>
      <c r="O339" s="2"/>
      <c r="P339" s="2"/>
      <c r="Q339" s="2"/>
      <c r="R339" s="2"/>
    </row>
    <row r="340" spans="1:18" x14ac:dyDescent="0.2">
      <c r="A340" s="2"/>
      <c r="B340" s="2"/>
      <c r="C340" s="74"/>
      <c r="D340" s="74"/>
      <c r="E340" s="74"/>
      <c r="F340" s="74"/>
      <c r="G340" s="74"/>
      <c r="H340" s="74"/>
      <c r="I340" s="74"/>
      <c r="J340" s="74"/>
      <c r="K340" s="192"/>
      <c r="L340" s="192"/>
      <c r="M340" s="75"/>
      <c r="N340" s="2"/>
      <c r="O340" s="2"/>
      <c r="P340" s="2"/>
      <c r="Q340" s="2"/>
      <c r="R340" s="2"/>
    </row>
    <row r="341" spans="1:18" x14ac:dyDescent="0.2">
      <c r="A341" s="2"/>
      <c r="B341" s="2"/>
      <c r="C341" s="74"/>
      <c r="D341" s="74"/>
      <c r="E341" s="74"/>
      <c r="F341" s="74"/>
      <c r="G341" s="74"/>
      <c r="H341" s="74"/>
      <c r="I341" s="74"/>
      <c r="J341" s="74"/>
      <c r="K341" s="192"/>
      <c r="L341" s="192"/>
      <c r="M341" s="75"/>
      <c r="N341" s="2"/>
      <c r="O341" s="2"/>
      <c r="P341" s="2"/>
      <c r="Q341" s="2"/>
      <c r="R341" s="2"/>
    </row>
    <row r="342" spans="1:18" x14ac:dyDescent="0.2">
      <c r="A342" s="2"/>
      <c r="B342" s="2"/>
      <c r="C342" s="74"/>
      <c r="D342" s="74"/>
      <c r="E342" s="74"/>
      <c r="F342" s="74"/>
      <c r="G342" s="74"/>
      <c r="H342" s="74"/>
      <c r="I342" s="74"/>
      <c r="J342" s="74"/>
      <c r="K342" s="192"/>
      <c r="L342" s="192"/>
      <c r="M342" s="75"/>
      <c r="N342" s="2"/>
      <c r="O342" s="2"/>
      <c r="P342" s="2"/>
      <c r="Q342" s="2"/>
      <c r="R342" s="2"/>
    </row>
    <row r="343" spans="1:18" x14ac:dyDescent="0.2">
      <c r="A343" s="2"/>
      <c r="B343" s="2"/>
      <c r="C343" s="74"/>
      <c r="D343" s="74"/>
      <c r="E343" s="74"/>
      <c r="F343" s="74"/>
      <c r="G343" s="74"/>
      <c r="H343" s="74"/>
      <c r="I343" s="74"/>
      <c r="J343" s="74"/>
      <c r="K343" s="192"/>
      <c r="L343" s="192"/>
      <c r="M343" s="75"/>
      <c r="N343" s="2"/>
      <c r="O343" s="2"/>
      <c r="P343" s="2"/>
      <c r="Q343" s="2"/>
      <c r="R343" s="2"/>
    </row>
    <row r="344" spans="1:18" x14ac:dyDescent="0.2">
      <c r="A344" s="2"/>
      <c r="B344" s="2"/>
      <c r="C344" s="74"/>
      <c r="D344" s="74"/>
      <c r="E344" s="74"/>
      <c r="F344" s="74"/>
      <c r="G344" s="74"/>
      <c r="H344" s="74"/>
      <c r="I344" s="74"/>
      <c r="J344" s="74"/>
      <c r="K344" s="192"/>
      <c r="L344" s="192"/>
      <c r="M344" s="75"/>
      <c r="N344" s="2"/>
      <c r="O344" s="2"/>
      <c r="P344" s="2"/>
      <c r="Q344" s="2"/>
      <c r="R344" s="2"/>
    </row>
    <row r="345" spans="1:18" x14ac:dyDescent="0.2">
      <c r="A345" s="2"/>
      <c r="B345" s="2"/>
      <c r="C345" s="74"/>
      <c r="D345" s="74"/>
      <c r="E345" s="74"/>
      <c r="F345" s="74"/>
      <c r="G345" s="74"/>
      <c r="H345" s="74"/>
      <c r="I345" s="74"/>
      <c r="J345" s="74"/>
      <c r="K345" s="192"/>
      <c r="L345" s="192"/>
      <c r="M345" s="75"/>
      <c r="N345" s="2"/>
      <c r="O345" s="2"/>
      <c r="P345" s="2"/>
      <c r="Q345" s="2"/>
      <c r="R345" s="2"/>
    </row>
    <row r="346" spans="1:18" x14ac:dyDescent="0.2">
      <c r="A346" s="2"/>
      <c r="B346" s="2"/>
      <c r="C346" s="74"/>
      <c r="D346" s="74"/>
      <c r="E346" s="74"/>
      <c r="F346" s="74"/>
      <c r="G346" s="74"/>
      <c r="H346" s="74"/>
      <c r="I346" s="74"/>
      <c r="J346" s="74"/>
      <c r="K346" s="192"/>
      <c r="L346" s="192"/>
      <c r="M346" s="75"/>
      <c r="N346" s="2"/>
      <c r="O346" s="2"/>
      <c r="P346" s="2"/>
      <c r="Q346" s="2"/>
      <c r="R346" s="2"/>
    </row>
    <row r="347" spans="1:18" x14ac:dyDescent="0.2">
      <c r="A347" s="2"/>
      <c r="B347" s="2"/>
      <c r="C347" s="74"/>
      <c r="D347" s="74"/>
      <c r="E347" s="74"/>
      <c r="F347" s="74"/>
      <c r="G347" s="74"/>
      <c r="H347" s="74"/>
      <c r="I347" s="74"/>
      <c r="J347" s="74"/>
      <c r="K347" s="192"/>
      <c r="L347" s="192"/>
      <c r="M347" s="75"/>
      <c r="N347" s="2"/>
      <c r="O347" s="2"/>
      <c r="P347" s="2"/>
      <c r="Q347" s="2"/>
      <c r="R347" s="2"/>
    </row>
    <row r="348" spans="1:18" x14ac:dyDescent="0.2">
      <c r="A348" s="2"/>
      <c r="B348" s="2"/>
      <c r="C348" s="74"/>
      <c r="D348" s="74"/>
      <c r="E348" s="74"/>
      <c r="F348" s="74"/>
      <c r="G348" s="74"/>
      <c r="H348" s="74"/>
      <c r="I348" s="74"/>
      <c r="J348" s="74"/>
      <c r="K348" s="192"/>
      <c r="L348" s="192"/>
      <c r="M348" s="75"/>
      <c r="N348" s="2"/>
      <c r="O348" s="2"/>
      <c r="P348" s="2"/>
      <c r="Q348" s="2"/>
      <c r="R348" s="2"/>
    </row>
    <row r="349" spans="1:18" x14ac:dyDescent="0.2">
      <c r="A349" s="2"/>
      <c r="B349" s="2"/>
      <c r="C349" s="74"/>
      <c r="D349" s="74"/>
      <c r="E349" s="74"/>
      <c r="F349" s="74"/>
      <c r="G349" s="74"/>
      <c r="H349" s="74"/>
      <c r="I349" s="74"/>
      <c r="J349" s="74"/>
      <c r="K349" s="192"/>
      <c r="L349" s="192"/>
      <c r="M349" s="75"/>
      <c r="N349" s="2"/>
      <c r="O349" s="2"/>
      <c r="P349" s="2"/>
      <c r="Q349" s="2"/>
      <c r="R349" s="2"/>
    </row>
    <row r="350" spans="1:18" x14ac:dyDescent="0.2">
      <c r="A350" s="2"/>
      <c r="B350" s="2"/>
      <c r="C350" s="74"/>
      <c r="D350" s="74"/>
      <c r="E350" s="74"/>
      <c r="F350" s="74"/>
      <c r="G350" s="74"/>
      <c r="H350" s="74"/>
      <c r="I350" s="74"/>
      <c r="J350" s="74"/>
      <c r="K350" s="192"/>
      <c r="L350" s="192"/>
      <c r="M350" s="75"/>
      <c r="N350" s="2"/>
      <c r="O350" s="2"/>
      <c r="P350" s="2"/>
      <c r="Q350" s="2"/>
      <c r="R350" s="2"/>
    </row>
    <row r="351" spans="1:18" x14ac:dyDescent="0.2">
      <c r="A351" s="2"/>
      <c r="B351" s="2"/>
      <c r="C351" s="74"/>
      <c r="D351" s="74"/>
      <c r="E351" s="74"/>
      <c r="F351" s="74"/>
      <c r="G351" s="74"/>
      <c r="H351" s="74"/>
      <c r="I351" s="74"/>
      <c r="J351" s="74"/>
      <c r="K351" s="192"/>
      <c r="L351" s="192"/>
      <c r="M351" s="75"/>
      <c r="N351" s="2"/>
      <c r="O351" s="2"/>
      <c r="P351" s="2"/>
      <c r="Q351" s="2"/>
      <c r="R351" s="2"/>
    </row>
    <row r="352" spans="1:18" x14ac:dyDescent="0.2">
      <c r="A352" s="2"/>
      <c r="B352" s="2"/>
      <c r="C352" s="74"/>
      <c r="D352" s="74"/>
      <c r="E352" s="74"/>
      <c r="F352" s="74"/>
      <c r="G352" s="74"/>
      <c r="H352" s="74"/>
      <c r="I352" s="74"/>
      <c r="J352" s="74"/>
      <c r="K352" s="192"/>
      <c r="L352" s="192"/>
      <c r="M352" s="75"/>
      <c r="N352" s="2"/>
      <c r="O352" s="2"/>
      <c r="P352" s="2"/>
      <c r="Q352" s="2"/>
      <c r="R352" s="2"/>
    </row>
    <row r="353" spans="1:18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192"/>
      <c r="L353" s="192"/>
      <c r="M353" s="75"/>
      <c r="N353" s="2"/>
      <c r="O353" s="2"/>
      <c r="P353" s="2"/>
      <c r="Q353" s="2"/>
      <c r="R353" s="2"/>
    </row>
    <row r="354" spans="1:18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192"/>
      <c r="L354" s="192"/>
      <c r="M354" s="75"/>
      <c r="N354" s="2"/>
      <c r="O354" s="2"/>
      <c r="P354" s="2"/>
      <c r="Q354" s="2"/>
      <c r="R354" s="2"/>
    </row>
    <row r="355" spans="1:18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192"/>
      <c r="L355" s="192"/>
      <c r="M355" s="75"/>
      <c r="N355" s="2"/>
      <c r="O355" s="2"/>
      <c r="P355" s="2"/>
      <c r="Q355" s="2"/>
      <c r="R355" s="2"/>
    </row>
    <row r="356" spans="1:18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192"/>
      <c r="L356" s="192"/>
      <c r="M356" s="75"/>
      <c r="N356" s="2"/>
      <c r="O356" s="2"/>
      <c r="P356" s="2"/>
      <c r="Q356" s="2"/>
      <c r="R356" s="2"/>
    </row>
    <row r="357" spans="1:18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192"/>
      <c r="L357" s="192"/>
      <c r="M357" s="75"/>
      <c r="N357" s="2"/>
      <c r="O357" s="2"/>
      <c r="P357" s="2"/>
      <c r="Q357" s="2"/>
      <c r="R357" s="2"/>
    </row>
    <row r="358" spans="1:18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192"/>
      <c r="L358" s="192"/>
      <c r="M358" s="75"/>
      <c r="N358" s="2"/>
      <c r="O358" s="2"/>
      <c r="P358" s="2"/>
      <c r="Q358" s="2"/>
      <c r="R358" s="2"/>
    </row>
    <row r="359" spans="1:18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192"/>
      <c r="L359" s="192"/>
      <c r="M359" s="75"/>
      <c r="N359" s="2"/>
      <c r="O359" s="2"/>
      <c r="P359" s="2"/>
      <c r="Q359" s="2"/>
      <c r="R359" s="2"/>
    </row>
    <row r="360" spans="1:18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192"/>
      <c r="L360" s="192"/>
      <c r="M360" s="75"/>
      <c r="N360" s="2"/>
      <c r="O360" s="2"/>
      <c r="P360" s="2"/>
      <c r="Q360" s="2"/>
      <c r="R360" s="2"/>
    </row>
    <row r="361" spans="1:18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192"/>
      <c r="L361" s="192"/>
      <c r="M361" s="75"/>
      <c r="N361" s="2"/>
      <c r="O361" s="2"/>
      <c r="P361" s="2"/>
      <c r="Q361" s="2"/>
      <c r="R361" s="2"/>
    </row>
    <row r="362" spans="1:18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192"/>
      <c r="L362" s="192"/>
      <c r="M362" s="75"/>
      <c r="N362" s="2"/>
      <c r="O362" s="2"/>
      <c r="P362" s="2"/>
      <c r="Q362" s="2"/>
      <c r="R362" s="2"/>
    </row>
    <row r="363" spans="1:18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192"/>
      <c r="L363" s="192"/>
      <c r="M363" s="75"/>
      <c r="N363" s="2"/>
      <c r="O363" s="2"/>
      <c r="P363" s="2"/>
      <c r="Q363" s="2"/>
      <c r="R363" s="2"/>
    </row>
    <row r="364" spans="1:18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192"/>
      <c r="L364" s="192"/>
      <c r="M364" s="75"/>
      <c r="N364" s="2"/>
      <c r="O364" s="2"/>
      <c r="P364" s="2"/>
      <c r="Q364" s="2"/>
      <c r="R364" s="2"/>
    </row>
    <row r="365" spans="1:18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192"/>
      <c r="L365" s="192"/>
      <c r="M365" s="75"/>
      <c r="N365" s="2"/>
      <c r="O365" s="2"/>
      <c r="P365" s="2"/>
      <c r="Q365" s="2"/>
      <c r="R365" s="2"/>
    </row>
    <row r="366" spans="1:18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192"/>
      <c r="L366" s="192"/>
      <c r="M366" s="75"/>
      <c r="N366" s="2"/>
      <c r="O366" s="2"/>
      <c r="P366" s="2"/>
      <c r="Q366" s="2"/>
      <c r="R366" s="2"/>
    </row>
    <row r="367" spans="1:18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192"/>
      <c r="L367" s="192"/>
      <c r="M367" s="75"/>
      <c r="N367" s="2"/>
      <c r="O367" s="2"/>
      <c r="P367" s="2"/>
      <c r="Q367" s="2"/>
      <c r="R367" s="2"/>
    </row>
    <row r="368" spans="1:18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192"/>
      <c r="L368" s="192"/>
      <c r="M368" s="75"/>
      <c r="N368" s="2"/>
      <c r="O368" s="2"/>
      <c r="P368" s="2"/>
      <c r="Q368" s="2"/>
      <c r="R368" s="2"/>
    </row>
    <row r="369" spans="1:18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192"/>
      <c r="L369" s="192"/>
      <c r="M369" s="75"/>
      <c r="N369" s="2"/>
      <c r="O369" s="2"/>
      <c r="P369" s="2"/>
      <c r="Q369" s="2"/>
      <c r="R369" s="2"/>
    </row>
    <row r="370" spans="1:18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192"/>
      <c r="L370" s="192"/>
      <c r="M370" s="75"/>
      <c r="N370" s="2"/>
      <c r="O370" s="2"/>
      <c r="P370" s="2"/>
      <c r="Q370" s="2"/>
      <c r="R370" s="2"/>
    </row>
    <row r="371" spans="1:18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192"/>
      <c r="L371" s="192"/>
      <c r="M371" s="75"/>
      <c r="N371" s="2"/>
      <c r="O371" s="2"/>
      <c r="P371" s="2"/>
      <c r="Q371" s="2"/>
      <c r="R371" s="2"/>
    </row>
    <row r="372" spans="1:18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192"/>
      <c r="L372" s="192"/>
      <c r="M372" s="75"/>
      <c r="N372" s="2"/>
      <c r="O372" s="2"/>
      <c r="P372" s="2"/>
      <c r="Q372" s="2"/>
      <c r="R372" s="2"/>
    </row>
    <row r="373" spans="1:18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192"/>
      <c r="L373" s="192"/>
      <c r="M373" s="75"/>
      <c r="N373" s="2"/>
      <c r="O373" s="2"/>
      <c r="P373" s="2"/>
      <c r="Q373" s="2"/>
      <c r="R373" s="2"/>
    </row>
    <row r="374" spans="1:18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192"/>
      <c r="L374" s="192"/>
      <c r="M374" s="75"/>
      <c r="N374" s="2"/>
      <c r="O374" s="2"/>
      <c r="P374" s="2"/>
      <c r="Q374" s="2"/>
      <c r="R374" s="2"/>
    </row>
    <row r="375" spans="1:18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192"/>
      <c r="L375" s="192"/>
      <c r="M375" s="75"/>
      <c r="N375" s="2"/>
      <c r="O375" s="2"/>
      <c r="P375" s="2"/>
      <c r="Q375" s="2"/>
      <c r="R375" s="2"/>
    </row>
    <row r="376" spans="1:18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192"/>
      <c r="L376" s="192"/>
      <c r="M376" s="75"/>
      <c r="N376" s="2"/>
      <c r="O376" s="2"/>
      <c r="P376" s="2"/>
      <c r="Q376" s="2"/>
      <c r="R376" s="2"/>
    </row>
    <row r="377" spans="1:18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192"/>
      <c r="L377" s="192"/>
      <c r="M377" s="75"/>
      <c r="N377" s="2"/>
      <c r="O377" s="2"/>
      <c r="P377" s="2"/>
      <c r="Q377" s="2"/>
      <c r="R377" s="2"/>
    </row>
    <row r="378" spans="1:18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192"/>
      <c r="L378" s="192"/>
      <c r="M378" s="75"/>
      <c r="N378" s="2"/>
      <c r="O378" s="2"/>
      <c r="P378" s="2"/>
      <c r="Q378" s="2"/>
      <c r="R378" s="2"/>
    </row>
    <row r="379" spans="1:18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192"/>
      <c r="L379" s="192"/>
      <c r="M379" s="75"/>
      <c r="N379" s="2"/>
      <c r="O379" s="2"/>
      <c r="P379" s="2"/>
      <c r="Q379" s="2"/>
      <c r="R379" s="2"/>
    </row>
    <row r="380" spans="1:18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192"/>
      <c r="L380" s="192"/>
      <c r="M380" s="75"/>
      <c r="N380" s="2"/>
      <c r="O380" s="2"/>
      <c r="P380" s="2"/>
      <c r="Q380" s="2"/>
      <c r="R380" s="2"/>
    </row>
    <row r="381" spans="1:18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192"/>
      <c r="L381" s="192"/>
      <c r="M381" s="75"/>
      <c r="N381" s="2"/>
      <c r="O381" s="2"/>
      <c r="P381" s="2"/>
      <c r="Q381" s="2"/>
      <c r="R381" s="2"/>
    </row>
    <row r="382" spans="1:18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192"/>
      <c r="L382" s="192"/>
      <c r="M382" s="75"/>
      <c r="N382" s="2"/>
      <c r="O382" s="2"/>
      <c r="P382" s="2"/>
      <c r="Q382" s="2"/>
      <c r="R382" s="2"/>
    </row>
    <row r="383" spans="1:18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192"/>
      <c r="L383" s="192"/>
      <c r="M383" s="75"/>
      <c r="N383" s="2"/>
      <c r="O383" s="2"/>
      <c r="P383" s="2"/>
      <c r="Q383" s="2"/>
      <c r="R383" s="2"/>
    </row>
    <row r="384" spans="1:18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192"/>
      <c r="L384" s="192"/>
      <c r="M384" s="75"/>
      <c r="N384" s="2"/>
      <c r="O384" s="2"/>
      <c r="P384" s="2"/>
      <c r="Q384" s="2"/>
      <c r="R384" s="2"/>
    </row>
    <row r="385" spans="1:18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192"/>
      <c r="L385" s="192"/>
      <c r="M385" s="75"/>
      <c r="N385" s="2"/>
      <c r="O385" s="2"/>
      <c r="P385" s="2"/>
      <c r="Q385" s="2"/>
      <c r="R385" s="2"/>
    </row>
    <row r="386" spans="1:18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192"/>
      <c r="L386" s="192"/>
      <c r="M386" s="75"/>
      <c r="N386" s="2"/>
      <c r="O386" s="2"/>
      <c r="P386" s="2"/>
      <c r="Q386" s="2"/>
      <c r="R386" s="2"/>
    </row>
    <row r="387" spans="1:18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192"/>
      <c r="L387" s="192"/>
      <c r="M387" s="75"/>
      <c r="N387" s="2"/>
      <c r="O387" s="2"/>
      <c r="P387" s="2"/>
      <c r="Q387" s="2"/>
      <c r="R387" s="2"/>
    </row>
    <row r="388" spans="1:18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192"/>
      <c r="L388" s="192"/>
      <c r="M388" s="75"/>
      <c r="N388" s="2"/>
      <c r="O388" s="2"/>
      <c r="P388" s="2"/>
      <c r="Q388" s="2"/>
      <c r="R388" s="2"/>
    </row>
    <row r="389" spans="1:18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192"/>
      <c r="L389" s="192"/>
      <c r="M389" s="75"/>
      <c r="N389" s="2"/>
      <c r="O389" s="2"/>
      <c r="P389" s="2"/>
      <c r="Q389" s="2"/>
      <c r="R389" s="2"/>
    </row>
    <row r="390" spans="1:18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192"/>
      <c r="L390" s="192"/>
      <c r="M390" s="75"/>
      <c r="N390" s="2"/>
      <c r="O390" s="2"/>
      <c r="P390" s="2"/>
      <c r="Q390" s="2"/>
      <c r="R390" s="2"/>
    </row>
    <row r="391" spans="1:18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192"/>
      <c r="L391" s="192"/>
      <c r="M391" s="75"/>
      <c r="N391" s="2"/>
      <c r="O391" s="2"/>
      <c r="P391" s="2"/>
      <c r="Q391" s="2"/>
      <c r="R391" s="2"/>
    </row>
    <row r="392" spans="1:18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192"/>
      <c r="L392" s="192"/>
      <c r="M392" s="75"/>
      <c r="N392" s="2"/>
      <c r="O392" s="2"/>
      <c r="P392" s="2"/>
      <c r="Q392" s="2"/>
      <c r="R392" s="2"/>
    </row>
    <row r="393" spans="1:18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192"/>
      <c r="L393" s="192"/>
      <c r="M393" s="75"/>
      <c r="N393" s="2"/>
      <c r="O393" s="2"/>
      <c r="P393" s="2"/>
      <c r="Q393" s="2"/>
      <c r="R393" s="2"/>
    </row>
    <row r="394" spans="1:18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192"/>
      <c r="L394" s="192"/>
      <c r="M394" s="75"/>
      <c r="N394" s="2"/>
      <c r="O394" s="2"/>
      <c r="P394" s="2"/>
      <c r="Q394" s="2"/>
      <c r="R394" s="2"/>
    </row>
    <row r="395" spans="1:18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192"/>
      <c r="L395" s="192"/>
      <c r="M395" s="75"/>
      <c r="N395" s="2"/>
      <c r="O395" s="2"/>
      <c r="P395" s="2"/>
      <c r="Q395" s="2"/>
      <c r="R395" s="2"/>
    </row>
    <row r="396" spans="1:18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192"/>
      <c r="L396" s="192"/>
      <c r="M396" s="75"/>
      <c r="N396" s="2"/>
      <c r="O396" s="2"/>
      <c r="P396" s="2"/>
      <c r="Q396" s="2"/>
      <c r="R396" s="2"/>
    </row>
    <row r="397" spans="1:18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192"/>
      <c r="L397" s="192"/>
      <c r="M397" s="75"/>
      <c r="N397" s="2"/>
      <c r="O397" s="2"/>
      <c r="P397" s="2"/>
      <c r="Q397" s="2"/>
      <c r="R397" s="2"/>
    </row>
    <row r="398" spans="1:18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192"/>
      <c r="L398" s="192"/>
      <c r="M398" s="75"/>
      <c r="N398" s="2"/>
      <c r="O398" s="2"/>
      <c r="P398" s="2"/>
      <c r="Q398" s="2"/>
      <c r="R398" s="2"/>
    </row>
    <row r="399" spans="1:18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192"/>
      <c r="L399" s="192"/>
      <c r="M399" s="75"/>
      <c r="N399" s="2"/>
      <c r="O399" s="2"/>
      <c r="P399" s="2"/>
      <c r="Q399" s="2"/>
      <c r="R399" s="2"/>
    </row>
    <row r="400" spans="1:18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192"/>
      <c r="L400" s="192"/>
      <c r="M400" s="75"/>
      <c r="N400" s="2"/>
      <c r="O400" s="2"/>
      <c r="P400" s="2"/>
      <c r="Q400" s="2"/>
      <c r="R400" s="2"/>
    </row>
    <row r="401" spans="1:18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192"/>
      <c r="L401" s="192"/>
      <c r="M401" s="75"/>
      <c r="N401" s="2"/>
      <c r="O401" s="2"/>
      <c r="P401" s="2"/>
      <c r="Q401" s="2"/>
      <c r="R401" s="2"/>
    </row>
    <row r="402" spans="1:18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192"/>
      <c r="L402" s="192"/>
      <c r="M402" s="75"/>
      <c r="N402" s="2"/>
      <c r="O402" s="2"/>
      <c r="P402" s="2"/>
      <c r="Q402" s="2"/>
      <c r="R402" s="2"/>
    </row>
    <row r="403" spans="1:18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192"/>
      <c r="L403" s="192"/>
      <c r="M403" s="75"/>
      <c r="N403" s="2"/>
      <c r="O403" s="2"/>
      <c r="P403" s="2"/>
      <c r="Q403" s="2"/>
      <c r="R403" s="2"/>
    </row>
    <row r="404" spans="1:18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192"/>
      <c r="L404" s="192"/>
      <c r="M404" s="75"/>
      <c r="N404" s="2"/>
      <c r="O404" s="2"/>
      <c r="P404" s="2"/>
      <c r="Q404" s="2"/>
      <c r="R404" s="2"/>
    </row>
    <row r="405" spans="1:18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192"/>
      <c r="L405" s="192"/>
      <c r="M405" s="75"/>
      <c r="N405" s="2"/>
      <c r="O405" s="2"/>
      <c r="P405" s="2"/>
      <c r="Q405" s="2"/>
      <c r="R405" s="2"/>
    </row>
    <row r="406" spans="1:18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192"/>
      <c r="L406" s="192"/>
      <c r="M406" s="75"/>
      <c r="N406" s="2"/>
      <c r="O406" s="2"/>
      <c r="P406" s="2"/>
      <c r="Q406" s="2"/>
      <c r="R406" s="2"/>
    </row>
    <row r="407" spans="1:18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192"/>
      <c r="L407" s="192"/>
      <c r="M407" s="75"/>
      <c r="N407" s="2"/>
      <c r="O407" s="2"/>
      <c r="P407" s="2"/>
      <c r="Q407" s="2"/>
      <c r="R407" s="2"/>
    </row>
    <row r="408" spans="1:18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192"/>
      <c r="L408" s="192"/>
      <c r="M408" s="75"/>
      <c r="N408" s="2"/>
      <c r="O408" s="2"/>
      <c r="P408" s="2"/>
      <c r="Q408" s="2"/>
      <c r="R408" s="2"/>
    </row>
    <row r="409" spans="1:18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192"/>
      <c r="L409" s="192"/>
      <c r="M409" s="75"/>
      <c r="N409" s="2"/>
      <c r="O409" s="2"/>
      <c r="P409" s="2"/>
      <c r="Q409" s="2"/>
      <c r="R409" s="2"/>
    </row>
    <row r="410" spans="1:18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192"/>
      <c r="L410" s="192"/>
      <c r="M410" s="75"/>
      <c r="N410" s="2"/>
      <c r="O410" s="2"/>
      <c r="P410" s="2"/>
      <c r="Q410" s="2"/>
      <c r="R410" s="2"/>
    </row>
    <row r="411" spans="1:18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192"/>
      <c r="L411" s="192"/>
      <c r="M411" s="75"/>
      <c r="N411" s="2"/>
      <c r="O411" s="2"/>
      <c r="P411" s="2"/>
      <c r="Q411" s="2"/>
      <c r="R411" s="2"/>
    </row>
    <row r="412" spans="1:18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192"/>
      <c r="L412" s="192"/>
      <c r="M412" s="75"/>
      <c r="N412" s="2"/>
      <c r="O412" s="2"/>
      <c r="P412" s="2"/>
      <c r="Q412" s="2"/>
      <c r="R412" s="2"/>
    </row>
    <row r="413" spans="1:18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192"/>
      <c r="L413" s="192"/>
      <c r="M413" s="75"/>
      <c r="N413" s="2"/>
      <c r="O413" s="2"/>
      <c r="P413" s="2"/>
      <c r="Q413" s="2"/>
      <c r="R413" s="2"/>
    </row>
    <row r="414" spans="1:18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192"/>
      <c r="L414" s="192"/>
      <c r="M414" s="75"/>
      <c r="N414" s="2"/>
      <c r="O414" s="2"/>
      <c r="P414" s="2"/>
      <c r="Q414" s="2"/>
      <c r="R414" s="2"/>
    </row>
    <row r="415" spans="1:18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192"/>
      <c r="L415" s="192"/>
      <c r="M415" s="75"/>
      <c r="N415" s="2"/>
      <c r="O415" s="2"/>
      <c r="P415" s="2"/>
      <c r="Q415" s="2"/>
      <c r="R415" s="2"/>
    </row>
    <row r="416" spans="1:18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192"/>
      <c r="L416" s="192"/>
      <c r="M416" s="75"/>
      <c r="N416" s="2"/>
      <c r="O416" s="2"/>
      <c r="P416" s="2"/>
      <c r="Q416" s="2"/>
      <c r="R416" s="2"/>
    </row>
    <row r="417" spans="1:18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192"/>
      <c r="L417" s="192"/>
      <c r="M417" s="75"/>
      <c r="N417" s="2"/>
      <c r="O417" s="2"/>
      <c r="P417" s="2"/>
      <c r="Q417" s="2"/>
      <c r="R417" s="2"/>
    </row>
    <row r="418" spans="1:18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192"/>
      <c r="L418" s="192"/>
      <c r="M418" s="75"/>
      <c r="N418" s="2"/>
      <c r="O418" s="2"/>
      <c r="P418" s="2"/>
      <c r="Q418" s="2"/>
      <c r="R418" s="2"/>
    </row>
    <row r="419" spans="1:18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192"/>
      <c r="L419" s="192"/>
      <c r="M419" s="75"/>
      <c r="N419" s="2"/>
      <c r="O419" s="2"/>
      <c r="P419" s="2"/>
      <c r="Q419" s="2"/>
      <c r="R419" s="2"/>
    </row>
    <row r="420" spans="1:18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192"/>
      <c r="L420" s="192"/>
      <c r="M420" s="75"/>
      <c r="N420" s="2"/>
      <c r="O420" s="2"/>
      <c r="P420" s="2"/>
      <c r="Q420" s="2"/>
      <c r="R420" s="2"/>
    </row>
    <row r="421" spans="1:18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192"/>
      <c r="L421" s="192"/>
      <c r="M421" s="75"/>
      <c r="N421" s="2"/>
      <c r="O421" s="2"/>
      <c r="P421" s="2"/>
      <c r="Q421" s="2"/>
      <c r="R421" s="2"/>
    </row>
    <row r="422" spans="1:18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192"/>
      <c r="L422" s="192"/>
      <c r="M422" s="75"/>
      <c r="N422" s="2"/>
      <c r="O422" s="2"/>
      <c r="P422" s="2"/>
      <c r="Q422" s="2"/>
      <c r="R422" s="2"/>
    </row>
    <row r="423" spans="1:18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192"/>
      <c r="L423" s="192"/>
      <c r="M423" s="75"/>
      <c r="N423" s="2"/>
      <c r="O423" s="2"/>
      <c r="P423" s="2"/>
      <c r="Q423" s="2"/>
      <c r="R423" s="2"/>
    </row>
    <row r="424" spans="1:18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192"/>
      <c r="L424" s="192"/>
      <c r="M424" s="75"/>
      <c r="N424" s="2"/>
      <c r="O424" s="2"/>
      <c r="P424" s="2"/>
      <c r="Q424" s="2"/>
      <c r="R424" s="2"/>
    </row>
    <row r="425" spans="1:18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192"/>
      <c r="L425" s="192"/>
      <c r="M425" s="75"/>
      <c r="N425" s="2"/>
      <c r="O425" s="2"/>
      <c r="P425" s="2"/>
      <c r="Q425" s="2"/>
      <c r="R425" s="2"/>
    </row>
    <row r="426" spans="1:18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192"/>
      <c r="L426" s="192"/>
      <c r="M426" s="75"/>
      <c r="N426" s="2"/>
      <c r="O426" s="2"/>
      <c r="P426" s="2"/>
      <c r="Q426" s="2"/>
      <c r="R426" s="2"/>
    </row>
    <row r="427" spans="1:18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192"/>
      <c r="L427" s="192"/>
      <c r="M427" s="75"/>
      <c r="N427" s="2"/>
      <c r="O427" s="2"/>
      <c r="P427" s="2"/>
      <c r="Q427" s="2"/>
      <c r="R427" s="2"/>
    </row>
    <row r="428" spans="1:18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192"/>
      <c r="L428" s="192"/>
      <c r="M428" s="75"/>
      <c r="N428" s="2"/>
      <c r="O428" s="2"/>
      <c r="P428" s="2"/>
      <c r="Q428" s="2"/>
      <c r="R428" s="2"/>
    </row>
    <row r="429" spans="1:18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192"/>
      <c r="L429" s="192"/>
      <c r="M429" s="75"/>
      <c r="N429" s="2"/>
      <c r="O429" s="2"/>
      <c r="P429" s="2"/>
      <c r="Q429" s="2"/>
      <c r="R429" s="2"/>
    </row>
    <row r="430" spans="1:18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192"/>
      <c r="L430" s="192"/>
      <c r="M430" s="75"/>
      <c r="N430" s="2"/>
      <c r="O430" s="2"/>
      <c r="P430" s="2"/>
      <c r="Q430" s="2"/>
      <c r="R430" s="2"/>
    </row>
    <row r="431" spans="1:18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192"/>
      <c r="L431" s="192"/>
      <c r="M431" s="75"/>
      <c r="N431" s="2"/>
      <c r="O431" s="2"/>
      <c r="P431" s="2"/>
      <c r="Q431" s="2"/>
      <c r="R431" s="2"/>
    </row>
    <row r="432" spans="1:18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192"/>
      <c r="L432" s="192"/>
      <c r="M432" s="75"/>
      <c r="N432" s="2"/>
      <c r="O432" s="2"/>
      <c r="P432" s="2"/>
      <c r="Q432" s="2"/>
      <c r="R432" s="2"/>
    </row>
    <row r="433" spans="1:18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192"/>
      <c r="L433" s="192"/>
      <c r="M433" s="75"/>
      <c r="N433" s="2"/>
      <c r="O433" s="2"/>
      <c r="P433" s="2"/>
      <c r="Q433" s="2"/>
      <c r="R433" s="2"/>
    </row>
    <row r="434" spans="1:18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192"/>
      <c r="L434" s="192"/>
      <c r="M434" s="75"/>
      <c r="N434" s="2"/>
      <c r="O434" s="2"/>
      <c r="P434" s="2"/>
      <c r="Q434" s="2"/>
      <c r="R434" s="2"/>
    </row>
    <row r="435" spans="1:18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192"/>
      <c r="L435" s="192"/>
      <c r="M435" s="75"/>
      <c r="N435" s="2"/>
      <c r="O435" s="2"/>
      <c r="P435" s="2"/>
      <c r="Q435" s="2"/>
      <c r="R435" s="2"/>
    </row>
    <row r="436" spans="1:18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192"/>
      <c r="L436" s="192"/>
      <c r="M436" s="75"/>
      <c r="N436" s="2"/>
      <c r="O436" s="2"/>
      <c r="P436" s="2"/>
      <c r="Q436" s="2"/>
      <c r="R436" s="2"/>
    </row>
    <row r="437" spans="1:18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192"/>
      <c r="L437" s="192"/>
      <c r="M437" s="75"/>
      <c r="N437" s="2"/>
      <c r="O437" s="2"/>
      <c r="P437" s="2"/>
      <c r="Q437" s="2"/>
      <c r="R437" s="2"/>
    </row>
    <row r="438" spans="1:18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192"/>
      <c r="L438" s="192"/>
      <c r="M438" s="75"/>
      <c r="N438" s="2"/>
      <c r="O438" s="2"/>
      <c r="P438" s="2"/>
      <c r="Q438" s="2"/>
      <c r="R438" s="2"/>
    </row>
    <row r="439" spans="1:18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192"/>
      <c r="L439" s="192"/>
      <c r="M439" s="75"/>
      <c r="N439" s="2"/>
      <c r="O439" s="2"/>
      <c r="P439" s="2"/>
      <c r="Q439" s="2"/>
      <c r="R439" s="2"/>
    </row>
    <row r="440" spans="1:18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192"/>
      <c r="L440" s="192"/>
      <c r="M440" s="75"/>
      <c r="N440" s="2"/>
      <c r="O440" s="2"/>
      <c r="P440" s="2"/>
      <c r="Q440" s="2"/>
      <c r="R440" s="2"/>
    </row>
    <row r="441" spans="1:18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192"/>
      <c r="L441" s="192"/>
      <c r="M441" s="75"/>
      <c r="N441" s="2"/>
      <c r="O441" s="2"/>
      <c r="P441" s="2"/>
      <c r="Q441" s="2"/>
      <c r="R441" s="2"/>
    </row>
    <row r="442" spans="1:18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192"/>
      <c r="L442" s="192"/>
      <c r="M442" s="75"/>
      <c r="N442" s="2"/>
      <c r="O442" s="2"/>
      <c r="P442" s="2"/>
      <c r="Q442" s="2"/>
      <c r="R442" s="2"/>
    </row>
    <row r="443" spans="1:18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192"/>
      <c r="L443" s="192"/>
      <c r="M443" s="75"/>
      <c r="N443" s="2"/>
      <c r="O443" s="2"/>
      <c r="P443" s="2"/>
      <c r="Q443" s="2"/>
      <c r="R443" s="2"/>
    </row>
    <row r="444" spans="1:18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192"/>
      <c r="L444" s="192"/>
      <c r="M444" s="75"/>
      <c r="N444" s="2"/>
      <c r="O444" s="2"/>
      <c r="P444" s="2"/>
      <c r="Q444" s="2"/>
      <c r="R444" s="2"/>
    </row>
    <row r="445" spans="1:18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192"/>
      <c r="L445" s="192"/>
      <c r="M445" s="75"/>
      <c r="N445" s="2"/>
      <c r="O445" s="2"/>
      <c r="P445" s="2"/>
      <c r="Q445" s="2"/>
      <c r="R445" s="2"/>
    </row>
    <row r="446" spans="1:18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192"/>
      <c r="L446" s="192"/>
      <c r="M446" s="75"/>
      <c r="N446" s="2"/>
      <c r="O446" s="2"/>
      <c r="P446" s="2"/>
      <c r="Q446" s="2"/>
      <c r="R446" s="2"/>
    </row>
    <row r="447" spans="1:18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192"/>
      <c r="L447" s="192"/>
      <c r="M447" s="75"/>
      <c r="N447" s="2"/>
      <c r="O447" s="2"/>
      <c r="P447" s="2"/>
      <c r="Q447" s="2"/>
      <c r="R447" s="2"/>
    </row>
    <row r="448" spans="1:18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192"/>
      <c r="L448" s="192"/>
      <c r="M448" s="75"/>
      <c r="N448" s="2"/>
      <c r="O448" s="2"/>
      <c r="P448" s="2"/>
      <c r="Q448" s="2"/>
      <c r="R448" s="2"/>
    </row>
    <row r="449" spans="1:18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192"/>
      <c r="L449" s="192"/>
      <c r="M449" s="75"/>
      <c r="N449" s="2"/>
      <c r="O449" s="2"/>
      <c r="P449" s="2"/>
      <c r="Q449" s="2"/>
      <c r="R449" s="2"/>
    </row>
    <row r="450" spans="1:18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192"/>
      <c r="L450" s="192"/>
      <c r="M450" s="75"/>
      <c r="N450" s="2"/>
      <c r="O450" s="2"/>
      <c r="P450" s="2"/>
      <c r="Q450" s="2"/>
      <c r="R450" s="2"/>
    </row>
    <row r="451" spans="1:18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192"/>
      <c r="L451" s="192"/>
      <c r="M451" s="75"/>
      <c r="N451" s="2"/>
      <c r="O451" s="2"/>
      <c r="P451" s="2"/>
      <c r="Q451" s="2"/>
      <c r="R451" s="2"/>
    </row>
    <row r="452" spans="1:18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192"/>
      <c r="L452" s="192"/>
      <c r="M452" s="75"/>
      <c r="N452" s="2"/>
      <c r="O452" s="2"/>
      <c r="P452" s="2"/>
      <c r="Q452" s="2"/>
      <c r="R452" s="2"/>
    </row>
    <row r="453" spans="1:18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192"/>
      <c r="L453" s="192"/>
      <c r="M453" s="75"/>
      <c r="N453" s="2"/>
      <c r="O453" s="2"/>
      <c r="P453" s="2"/>
      <c r="Q453" s="2"/>
      <c r="R453" s="2"/>
    </row>
    <row r="454" spans="1:18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192"/>
      <c r="L454" s="192"/>
      <c r="M454" s="75"/>
      <c r="N454" s="2"/>
      <c r="O454" s="2"/>
      <c r="P454" s="2"/>
      <c r="Q454" s="2"/>
      <c r="R454" s="2"/>
    </row>
    <row r="455" spans="1:18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192"/>
      <c r="L455" s="192"/>
      <c r="M455" s="75"/>
      <c r="N455" s="2"/>
      <c r="O455" s="2"/>
      <c r="P455" s="2"/>
      <c r="Q455" s="2"/>
      <c r="R455" s="2"/>
    </row>
    <row r="456" spans="1:18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192"/>
      <c r="L456" s="192"/>
      <c r="M456" s="75"/>
      <c r="N456" s="2"/>
      <c r="O456" s="2"/>
      <c r="P456" s="2"/>
      <c r="Q456" s="2"/>
      <c r="R456" s="2"/>
    </row>
    <row r="457" spans="1:18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192"/>
      <c r="L457" s="192"/>
      <c r="M457" s="75"/>
      <c r="N457" s="2"/>
      <c r="O457" s="2"/>
      <c r="P457" s="2"/>
      <c r="Q457" s="2"/>
      <c r="R457" s="2"/>
    </row>
    <row r="458" spans="1:18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192"/>
      <c r="L458" s="192"/>
      <c r="M458" s="75"/>
      <c r="N458" s="2"/>
      <c r="O458" s="2"/>
      <c r="P458" s="2"/>
      <c r="Q458" s="2"/>
      <c r="R458" s="2"/>
    </row>
    <row r="459" spans="1:18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192"/>
      <c r="L459" s="192"/>
      <c r="M459" s="75"/>
      <c r="N459" s="2"/>
      <c r="O459" s="2"/>
      <c r="P459" s="2"/>
      <c r="Q459" s="2"/>
      <c r="R459" s="2"/>
    </row>
    <row r="460" spans="1:18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192"/>
      <c r="L460" s="192"/>
      <c r="M460" s="75"/>
      <c r="N460" s="2"/>
      <c r="O460" s="2"/>
      <c r="P460" s="2"/>
      <c r="Q460" s="2"/>
      <c r="R460" s="2"/>
    </row>
    <row r="461" spans="1:18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192"/>
      <c r="L461" s="192"/>
      <c r="M461" s="75"/>
      <c r="N461" s="2"/>
      <c r="O461" s="2"/>
      <c r="P461" s="2"/>
      <c r="Q461" s="2"/>
      <c r="R461" s="2"/>
    </row>
    <row r="462" spans="1:18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192"/>
      <c r="L462" s="192"/>
      <c r="M462" s="75"/>
      <c r="N462" s="2"/>
      <c r="O462" s="2"/>
      <c r="P462" s="2"/>
      <c r="Q462" s="2"/>
      <c r="R462" s="2"/>
    </row>
    <row r="463" spans="1:18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192"/>
      <c r="L463" s="192"/>
      <c r="M463" s="75"/>
      <c r="N463" s="2"/>
      <c r="O463" s="2"/>
      <c r="P463" s="2"/>
      <c r="Q463" s="2"/>
      <c r="R463" s="2"/>
    </row>
    <row r="464" spans="1:18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192"/>
      <c r="L464" s="192"/>
      <c r="M464" s="75"/>
      <c r="N464" s="2"/>
      <c r="O464" s="2"/>
      <c r="P464" s="2"/>
      <c r="Q464" s="2"/>
      <c r="R464" s="2"/>
    </row>
    <row r="465" spans="1:18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192"/>
      <c r="L465" s="192"/>
      <c r="M465" s="75"/>
      <c r="N465" s="2"/>
      <c r="O465" s="2"/>
      <c r="P465" s="2"/>
      <c r="Q465" s="2"/>
      <c r="R465" s="2"/>
    </row>
    <row r="466" spans="1:18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192"/>
      <c r="L466" s="192"/>
      <c r="M466" s="75"/>
      <c r="N466" s="2"/>
      <c r="O466" s="2"/>
      <c r="P466" s="2"/>
      <c r="Q466" s="2"/>
      <c r="R466" s="2"/>
    </row>
    <row r="467" spans="1:18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192"/>
      <c r="L467" s="192"/>
      <c r="M467" s="75"/>
      <c r="N467" s="2"/>
      <c r="O467" s="2"/>
      <c r="P467" s="2"/>
      <c r="Q467" s="2"/>
      <c r="R467" s="2"/>
    </row>
    <row r="468" spans="1:18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192"/>
      <c r="L468" s="192"/>
      <c r="M468" s="75"/>
      <c r="N468" s="2"/>
      <c r="O468" s="2"/>
      <c r="P468" s="2"/>
      <c r="Q468" s="2"/>
      <c r="R468" s="2"/>
    </row>
    <row r="469" spans="1:18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192"/>
      <c r="L469" s="192"/>
      <c r="M469" s="75"/>
      <c r="N469" s="2"/>
      <c r="O469" s="2"/>
      <c r="P469" s="2"/>
      <c r="Q469" s="2"/>
      <c r="R469" s="2"/>
    </row>
    <row r="470" spans="1:18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192"/>
      <c r="L470" s="192"/>
      <c r="M470" s="75"/>
      <c r="N470" s="2"/>
      <c r="O470" s="2"/>
      <c r="P470" s="2"/>
      <c r="Q470" s="2"/>
      <c r="R470" s="2"/>
    </row>
    <row r="471" spans="1:18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192"/>
      <c r="L471" s="192"/>
      <c r="M471" s="75"/>
      <c r="N471" s="2"/>
      <c r="O471" s="2"/>
      <c r="P471" s="2"/>
      <c r="Q471" s="2"/>
      <c r="R471" s="2"/>
    </row>
    <row r="472" spans="1:18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192"/>
      <c r="L472" s="192"/>
      <c r="M472" s="75"/>
      <c r="N472" s="2"/>
      <c r="O472" s="2"/>
      <c r="P472" s="2"/>
      <c r="Q472" s="2"/>
      <c r="R472" s="2"/>
    </row>
    <row r="473" spans="1:18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192"/>
      <c r="L473" s="192"/>
      <c r="M473" s="75"/>
      <c r="N473" s="2"/>
      <c r="O473" s="2"/>
      <c r="P473" s="2"/>
      <c r="Q473" s="2"/>
      <c r="R473" s="2"/>
    </row>
    <row r="474" spans="1:18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192"/>
      <c r="L474" s="192"/>
      <c r="M474" s="75"/>
      <c r="N474" s="2"/>
      <c r="O474" s="2"/>
      <c r="P474" s="2"/>
      <c r="Q474" s="2"/>
      <c r="R474" s="2"/>
    </row>
    <row r="475" spans="1:18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192"/>
      <c r="L475" s="192"/>
      <c r="M475" s="75"/>
      <c r="N475" s="2"/>
      <c r="O475" s="2"/>
      <c r="P475" s="2"/>
      <c r="Q475" s="2"/>
      <c r="R475" s="2"/>
    </row>
    <row r="476" spans="1:18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192"/>
      <c r="L476" s="192"/>
      <c r="M476" s="75"/>
      <c r="N476" s="2"/>
      <c r="O476" s="2"/>
      <c r="P476" s="2"/>
      <c r="Q476" s="2"/>
      <c r="R476" s="2"/>
    </row>
    <row r="477" spans="1:18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192"/>
      <c r="L477" s="192"/>
      <c r="M477" s="75"/>
      <c r="N477" s="2"/>
      <c r="O477" s="2"/>
      <c r="P477" s="2"/>
      <c r="Q477" s="2"/>
      <c r="R477" s="2"/>
    </row>
    <row r="478" spans="1:18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192"/>
      <c r="L478" s="192"/>
      <c r="M478" s="75"/>
      <c r="N478" s="2"/>
      <c r="O478" s="2"/>
      <c r="P478" s="2"/>
      <c r="Q478" s="2"/>
      <c r="R478" s="2"/>
    </row>
  </sheetData>
  <phoneticPr fontId="0" type="noConversion"/>
  <printOptions horizontalCentered="1"/>
  <pageMargins left="0.45" right="0.25" top="0.31944444444444398" bottom="0.2" header="0.5" footer="0.5"/>
  <pageSetup scale="66" orientation="landscape" r:id="rId1"/>
  <headerFooter alignWithMargins="0"/>
  <rowBreaks count="4" manualBreakCount="4">
    <brk id="52" max="12" man="1"/>
    <brk id="97" max="12" man="1"/>
    <brk id="142" max="12" man="1"/>
    <brk id="18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51"/>
  <sheetViews>
    <sheetView showOutlineSymbols="0" zoomScaleNormal="100" workbookViewId="0">
      <selection activeCell="A4" sqref="A4"/>
    </sheetView>
  </sheetViews>
  <sheetFormatPr defaultColWidth="9.6640625" defaultRowHeight="15" x14ac:dyDescent="0.2"/>
  <cols>
    <col min="1" max="1" width="10.21875" style="80" customWidth="1"/>
    <col min="2" max="2" width="9.77734375" style="80" customWidth="1"/>
    <col min="3" max="3" width="16.109375" style="80" customWidth="1"/>
    <col min="4" max="4" width="16.21875" style="80" customWidth="1"/>
    <col min="5" max="5" width="13.6640625" style="80" customWidth="1"/>
    <col min="6" max="6" width="14.33203125" style="80" customWidth="1"/>
    <col min="7" max="7" width="21.44140625" style="80" customWidth="1"/>
    <col min="8" max="8" width="17.88671875" style="80" customWidth="1"/>
    <col min="9" max="9" width="15.44140625" style="80" customWidth="1"/>
    <col min="10" max="10" width="14.6640625" style="80" customWidth="1"/>
    <col min="11" max="11" width="11.5546875" style="80" customWidth="1"/>
    <col min="12" max="12" width="12.77734375" style="80" customWidth="1"/>
    <col min="13" max="13" width="14.5546875" style="80" customWidth="1"/>
    <col min="14" max="14" width="9.44140625" style="80" customWidth="1"/>
    <col min="15" max="15" width="13.88671875" style="80" customWidth="1"/>
    <col min="16" max="16" width="3.77734375" style="80" customWidth="1"/>
    <col min="17" max="16384" width="9.6640625" style="80"/>
  </cols>
  <sheetData>
    <row r="1" spans="1:16" ht="23.25" x14ac:dyDescent="0.35">
      <c r="A1" s="78" t="s">
        <v>0</v>
      </c>
      <c r="B1" s="78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6" ht="23.25" x14ac:dyDescent="0.35">
      <c r="A2" s="78" t="s">
        <v>23</v>
      </c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6" ht="23.25" x14ac:dyDescent="0.35">
      <c r="A3" s="282" t="s">
        <v>71</v>
      </c>
      <c r="B3" s="78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6" ht="23.25" x14ac:dyDescent="0.35">
      <c r="A4" s="78"/>
      <c r="B4" s="78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5" spans="1:16" ht="24" thickBot="1" x14ac:dyDescent="0.4">
      <c r="A5" s="78" t="s">
        <v>24</v>
      </c>
      <c r="B5" s="78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</row>
    <row r="6" spans="1:16" ht="16.5" thickTop="1" x14ac:dyDescent="0.25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2" t="s">
        <v>25</v>
      </c>
      <c r="P6" s="83"/>
    </row>
    <row r="7" spans="1:16" ht="15.75" x14ac:dyDescent="0.25">
      <c r="A7" s="105" t="s">
        <v>26</v>
      </c>
      <c r="B7" s="84" t="s">
        <v>13</v>
      </c>
      <c r="C7" s="84" t="s">
        <v>15</v>
      </c>
      <c r="D7" s="84" t="s">
        <v>56</v>
      </c>
      <c r="E7" s="275" t="s">
        <v>62</v>
      </c>
      <c r="F7" s="84" t="s">
        <v>16</v>
      </c>
      <c r="G7" s="84" t="s">
        <v>61</v>
      </c>
      <c r="H7" s="84" t="s">
        <v>17</v>
      </c>
      <c r="I7" s="84" t="s">
        <v>55</v>
      </c>
      <c r="J7" s="84" t="s">
        <v>27</v>
      </c>
      <c r="K7" s="84" t="s">
        <v>57</v>
      </c>
      <c r="L7" s="84" t="s">
        <v>53</v>
      </c>
      <c r="M7" s="84" t="s">
        <v>19</v>
      </c>
      <c r="N7" s="84" t="s">
        <v>54</v>
      </c>
      <c r="O7" s="84" t="s">
        <v>28</v>
      </c>
      <c r="P7" s="83"/>
    </row>
    <row r="8" spans="1:16" ht="16.5" thickBot="1" x14ac:dyDescent="0.3">
      <c r="A8" s="85"/>
      <c r="B8" s="85"/>
      <c r="C8" s="85"/>
      <c r="D8" s="85"/>
      <c r="E8" s="276"/>
      <c r="F8" s="85"/>
      <c r="G8" s="85"/>
      <c r="H8" s="85"/>
      <c r="I8" s="85"/>
      <c r="J8" s="85"/>
      <c r="K8" s="85"/>
      <c r="L8" s="85"/>
      <c r="M8" s="85"/>
      <c r="N8" s="85"/>
      <c r="O8" s="85"/>
      <c r="P8" s="83"/>
    </row>
    <row r="9" spans="1:16" ht="15.75" thickTop="1" x14ac:dyDescent="0.2">
      <c r="A9" s="86"/>
      <c r="B9" s="86"/>
      <c r="C9" s="86"/>
      <c r="D9" s="86"/>
      <c r="E9" s="87"/>
      <c r="F9" s="87"/>
      <c r="G9" s="87"/>
      <c r="H9" s="87"/>
      <c r="I9" s="87"/>
      <c r="J9" s="86"/>
      <c r="K9" s="86"/>
      <c r="L9" s="86"/>
      <c r="M9" s="86"/>
      <c r="N9" s="86"/>
      <c r="O9" s="86"/>
      <c r="P9" s="83"/>
    </row>
    <row r="10" spans="1:16" ht="15.75" x14ac:dyDescent="0.25">
      <c r="A10" s="88">
        <f>DATE(2018,7,1)</f>
        <v>43282</v>
      </c>
      <c r="B10" s="89">
        <f>'MONTHLY STATS'!$C$9*2</f>
        <v>522912</v>
      </c>
      <c r="C10" s="89">
        <f>'MONTHLY STATS'!$C$24*2</f>
        <v>284956</v>
      </c>
      <c r="D10" s="89">
        <f>'MONTHLY STATS'!$C$39*2</f>
        <v>145820</v>
      </c>
      <c r="E10" s="89">
        <f>'MONTHLY STATS'!$C$54*2</f>
        <v>931784</v>
      </c>
      <c r="F10" s="89">
        <f>'MONTHLY STATS'!$C$69*2</f>
        <v>578334</v>
      </c>
      <c r="G10" s="89">
        <f>'MONTHLY STATS'!$C$84*2</f>
        <v>258320</v>
      </c>
      <c r="H10" s="89">
        <f>'MONTHLY STATS'!$C$99*2</f>
        <v>328480</v>
      </c>
      <c r="I10" s="89">
        <f>'MONTHLY STATS'!$C$114*2</f>
        <v>776692</v>
      </c>
      <c r="J10" s="89">
        <f>'MONTHLY STATS'!$C$129*2</f>
        <v>827460</v>
      </c>
      <c r="K10" s="89">
        <f>'MONTHLY STATS'!$C$144*2</f>
        <v>874342</v>
      </c>
      <c r="L10" s="89">
        <f>'MONTHLY STATS'!$C$159*2</f>
        <v>127868</v>
      </c>
      <c r="M10" s="89">
        <f>'MONTHLY STATS'!$C$174*2</f>
        <v>940588</v>
      </c>
      <c r="N10" s="89">
        <f>'MONTHLY STATS'!$C$189*2</f>
        <v>166924</v>
      </c>
      <c r="O10" s="90">
        <f t="shared" ref="O10:O15" si="0">SUM(B10:N10)</f>
        <v>6764480</v>
      </c>
      <c r="P10" s="83"/>
    </row>
    <row r="11" spans="1:16" ht="15.75" x14ac:dyDescent="0.25">
      <c r="A11" s="88">
        <f>DATE(2018,8,1)</f>
        <v>43313</v>
      </c>
      <c r="B11" s="89">
        <f>'MONTHLY STATS'!$C$10*2</f>
        <v>532734</v>
      </c>
      <c r="C11" s="89">
        <f>'MONTHLY STATS'!$C$25*2</f>
        <v>275588</v>
      </c>
      <c r="D11" s="89">
        <f>'MONTHLY STATS'!$C$40*2</f>
        <v>141148</v>
      </c>
      <c r="E11" s="89">
        <f>'MONTHLY STATS'!$C$55*2</f>
        <v>909144</v>
      </c>
      <c r="F11" s="89">
        <f>'MONTHLY STATS'!$C$70*2</f>
        <v>584264</v>
      </c>
      <c r="G11" s="89">
        <f>'MONTHLY STATS'!$C$85*2</f>
        <v>241720</v>
      </c>
      <c r="H11" s="89">
        <f>'MONTHLY STATS'!$C$100*2</f>
        <v>322250</v>
      </c>
      <c r="I11" s="89">
        <f>'MONTHLY STATS'!$C$115*2</f>
        <v>749962</v>
      </c>
      <c r="J11" s="89">
        <f>'MONTHLY STATS'!$C$130*2</f>
        <v>811314</v>
      </c>
      <c r="K11" s="89">
        <f>'MONTHLY STATS'!$C$145*2</f>
        <v>856870</v>
      </c>
      <c r="L11" s="89">
        <f>'MONTHLY STATS'!$C$160*2</f>
        <v>122008</v>
      </c>
      <c r="M11" s="89">
        <f>'MONTHLY STATS'!$C$175*2</f>
        <v>949540</v>
      </c>
      <c r="N11" s="89">
        <f>'MONTHLY STATS'!$C$190*2</f>
        <v>165550</v>
      </c>
      <c r="O11" s="90">
        <f t="shared" si="0"/>
        <v>6662092</v>
      </c>
      <c r="P11" s="83"/>
    </row>
    <row r="12" spans="1:16" ht="15.75" x14ac:dyDescent="0.25">
      <c r="A12" s="88">
        <f>DATE(2018,9,1)</f>
        <v>43344</v>
      </c>
      <c r="B12" s="89">
        <f>'MONTHLY STATS'!$C$11*2</f>
        <v>527226</v>
      </c>
      <c r="C12" s="89">
        <f>'MONTHLY STATS'!$C$26*2</f>
        <v>274524</v>
      </c>
      <c r="D12" s="89">
        <f>'MONTHLY STATS'!$C$41*2</f>
        <v>136402</v>
      </c>
      <c r="E12" s="89">
        <f>'MONTHLY STATS'!$C$56*2</f>
        <v>801390</v>
      </c>
      <c r="F12" s="89">
        <f>'MONTHLY STATS'!$C$71*2</f>
        <v>585910</v>
      </c>
      <c r="G12" s="89">
        <f>'MONTHLY STATS'!$C$86*2</f>
        <v>259142</v>
      </c>
      <c r="H12" s="89">
        <f>'MONTHLY STATS'!$C$101*2</f>
        <v>308386</v>
      </c>
      <c r="I12" s="89">
        <f>'MONTHLY STATS'!$C$116*2</f>
        <v>720672</v>
      </c>
      <c r="J12" s="89">
        <f>'MONTHLY STATS'!$C$131*2</f>
        <v>773024</v>
      </c>
      <c r="K12" s="89">
        <f>'MONTHLY STATS'!$C$146*2</f>
        <v>860976</v>
      </c>
      <c r="L12" s="89">
        <f>'MONTHLY STATS'!$C$161*2</f>
        <v>114782</v>
      </c>
      <c r="M12" s="89">
        <f>'MONTHLY STATS'!$C$176*2</f>
        <v>878080</v>
      </c>
      <c r="N12" s="89">
        <f>'MONTHLY STATS'!$C$191*2</f>
        <v>154184</v>
      </c>
      <c r="O12" s="90">
        <f t="shared" si="0"/>
        <v>6394698</v>
      </c>
      <c r="P12" s="83"/>
    </row>
    <row r="13" spans="1:16" ht="15.75" x14ac:dyDescent="0.25">
      <c r="A13" s="88">
        <f>DATE(2018,10,1)</f>
        <v>43374</v>
      </c>
      <c r="B13" s="89">
        <f>'MONTHLY STATS'!$C$12*2</f>
        <v>528486</v>
      </c>
      <c r="C13" s="89">
        <f>'MONTHLY STATS'!$C$27*2</f>
        <v>239874</v>
      </c>
      <c r="D13" s="89">
        <f>'MONTHLY STATS'!$C$42*2</f>
        <v>125608</v>
      </c>
      <c r="E13" s="89">
        <f>'MONTHLY STATS'!$C$57*2</f>
        <v>770770</v>
      </c>
      <c r="F13" s="89">
        <f>'MONTHLY STATS'!$C$72*2</f>
        <v>566214</v>
      </c>
      <c r="G13" s="89">
        <f>'MONTHLY STATS'!$C$87*2</f>
        <v>232470</v>
      </c>
      <c r="H13" s="89">
        <f>'MONTHLY STATS'!$C$102*2</f>
        <v>306350</v>
      </c>
      <c r="I13" s="89">
        <f>'MONTHLY STATS'!$C$117*2</f>
        <v>667538</v>
      </c>
      <c r="J13" s="89">
        <f>'MONTHLY STATS'!$C$132*2</f>
        <v>707714</v>
      </c>
      <c r="K13" s="89">
        <f>'MONTHLY STATS'!$C$147*2</f>
        <v>814702</v>
      </c>
      <c r="L13" s="89">
        <f>'MONTHLY STATS'!$C$162*2</f>
        <v>109940</v>
      </c>
      <c r="M13" s="89">
        <f>'MONTHLY STATS'!$C$177*2</f>
        <v>844574</v>
      </c>
      <c r="N13" s="89">
        <f>'MONTHLY STATS'!$C$192*2</f>
        <v>164446</v>
      </c>
      <c r="O13" s="90">
        <f t="shared" si="0"/>
        <v>6078686</v>
      </c>
      <c r="P13" s="83"/>
    </row>
    <row r="14" spans="1:16" ht="15.75" x14ac:dyDescent="0.25">
      <c r="A14" s="88">
        <f>DATE(2018,11,1)</f>
        <v>43405</v>
      </c>
      <c r="B14" s="89">
        <f>'MONTHLY STATS'!$C$13*2</f>
        <v>505736</v>
      </c>
      <c r="C14" s="89">
        <f>'MONTHLY STATS'!$C$28*2</f>
        <v>226774</v>
      </c>
      <c r="D14" s="89">
        <f>'MONTHLY STATS'!$C$43*2</f>
        <v>123920</v>
      </c>
      <c r="E14" s="89">
        <f>'MONTHLY STATS'!$C$58*2</f>
        <v>748692</v>
      </c>
      <c r="F14" s="89">
        <f>'MONTHLY STATS'!$C$73*2</f>
        <v>541974</v>
      </c>
      <c r="G14" s="89">
        <f>'MONTHLY STATS'!$C$88*2</f>
        <v>234588</v>
      </c>
      <c r="H14" s="89">
        <f>'MONTHLY STATS'!$C$103*2</f>
        <v>278218</v>
      </c>
      <c r="I14" s="89">
        <f>'MONTHLY STATS'!$C$118*2</f>
        <v>657554</v>
      </c>
      <c r="J14" s="89">
        <f>'MONTHLY STATS'!$C$133*2</f>
        <v>686024</v>
      </c>
      <c r="K14" s="89">
        <f>'MONTHLY STATS'!$C$148*2</f>
        <v>823882</v>
      </c>
      <c r="L14" s="89">
        <f>'MONTHLY STATS'!$C$163*2</f>
        <v>98056</v>
      </c>
      <c r="M14" s="89">
        <f>'MONTHLY STATS'!$C$178*2</f>
        <v>851054</v>
      </c>
      <c r="N14" s="89">
        <f>'MONTHLY STATS'!$C$193*2</f>
        <v>152606</v>
      </c>
      <c r="O14" s="90">
        <f t="shared" si="0"/>
        <v>5929078</v>
      </c>
      <c r="P14" s="83"/>
    </row>
    <row r="15" spans="1:16" ht="15.75" x14ac:dyDescent="0.25">
      <c r="A15" s="88">
        <f>DATE(2018,12,1)</f>
        <v>43435</v>
      </c>
      <c r="B15" s="89">
        <f>'MONTHLY STATS'!$C$14*2</f>
        <v>575366</v>
      </c>
      <c r="C15" s="89">
        <f>'MONTHLY STATS'!$C$29*2</f>
        <v>261914</v>
      </c>
      <c r="D15" s="89">
        <f>'MONTHLY STATS'!$C$44*2</f>
        <v>135604</v>
      </c>
      <c r="E15" s="89">
        <f>'MONTHLY STATS'!$C$59*2</f>
        <v>824096</v>
      </c>
      <c r="F15" s="89">
        <f>'MONTHLY STATS'!$C$74*2</f>
        <v>614368</v>
      </c>
      <c r="G15" s="89">
        <f>'MONTHLY STATS'!$C$89*2</f>
        <v>282812</v>
      </c>
      <c r="H15" s="89">
        <f>'MONTHLY STATS'!$C$104*2</f>
        <v>319492</v>
      </c>
      <c r="I15" s="89">
        <f>'MONTHLY STATS'!$C$119*2</f>
        <v>718736</v>
      </c>
      <c r="J15" s="89">
        <f>'MONTHLY STATS'!$C$134*2</f>
        <v>808174</v>
      </c>
      <c r="K15" s="89">
        <f>'MONTHLY STATS'!$C$149*2</f>
        <v>945840</v>
      </c>
      <c r="L15" s="89">
        <f>'MONTHLY STATS'!$C$164*2</f>
        <v>116294</v>
      </c>
      <c r="M15" s="89">
        <f>'MONTHLY STATS'!$C$179*2</f>
        <v>961778</v>
      </c>
      <c r="N15" s="89">
        <f>'MONTHLY STATS'!$C$194*2</f>
        <v>171156</v>
      </c>
      <c r="O15" s="90">
        <f t="shared" si="0"/>
        <v>6735630</v>
      </c>
      <c r="P15" s="83"/>
    </row>
    <row r="16" spans="1:16" ht="15.75" x14ac:dyDescent="0.25">
      <c r="A16" s="88">
        <f>DATE(2019,1,1)</f>
        <v>43466</v>
      </c>
      <c r="B16" s="89">
        <f>'MONTHLY STATS'!$C$15*2</f>
        <v>478572</v>
      </c>
      <c r="C16" s="89">
        <f>'MONTHLY STATS'!$C$30*2</f>
        <v>211408</v>
      </c>
      <c r="D16" s="89">
        <f>'MONTHLY STATS'!$C$45*2</f>
        <v>117486</v>
      </c>
      <c r="E16" s="89">
        <f>'MONTHLY STATS'!$C$60*2</f>
        <v>688058</v>
      </c>
      <c r="F16" s="89">
        <f>'MONTHLY STATS'!$C$75*2</f>
        <v>540938</v>
      </c>
      <c r="G16" s="89">
        <f>'MONTHLY STATS'!$C$90*2</f>
        <v>218668</v>
      </c>
      <c r="H16" s="89">
        <f>'MONTHLY STATS'!$C$105*2</f>
        <v>278602</v>
      </c>
      <c r="I16" s="89">
        <f>'MONTHLY STATS'!$C$120*2</f>
        <v>594740</v>
      </c>
      <c r="J16" s="89">
        <f>'MONTHLY STATS'!$C$135*2</f>
        <v>681682</v>
      </c>
      <c r="K16" s="89">
        <f>'MONTHLY STATS'!$C$150*2</f>
        <v>701034</v>
      </c>
      <c r="L16" s="89">
        <f>'MONTHLY STATS'!$C$165*2</f>
        <v>83514</v>
      </c>
      <c r="M16" s="89">
        <f>'MONTHLY STATS'!$C$180*2</f>
        <v>778150</v>
      </c>
      <c r="N16" s="89">
        <f>'MONTHLY STATS'!$C$195*2</f>
        <v>147536</v>
      </c>
      <c r="O16" s="90">
        <f t="shared" ref="O16:O21" si="1">SUM(B16:N16)</f>
        <v>5520388</v>
      </c>
      <c r="P16" s="83"/>
    </row>
    <row r="17" spans="1:16" ht="15.75" x14ac:dyDescent="0.25">
      <c r="A17" s="88">
        <f>DATE(2019,2,1)</f>
        <v>43497</v>
      </c>
      <c r="B17" s="89">
        <f>'MONTHLY STATS'!$C$16*2</f>
        <v>472816</v>
      </c>
      <c r="C17" s="89">
        <f>'MONTHLY STATS'!$C$31*2</f>
        <v>238666</v>
      </c>
      <c r="D17" s="89">
        <f>'MONTHLY STATS'!$C$46*2</f>
        <v>124696</v>
      </c>
      <c r="E17" s="89">
        <f>'MONTHLY STATS'!$C$61*2</f>
        <v>768642</v>
      </c>
      <c r="F17" s="89">
        <f>'MONTHLY STATS'!$C$76*2</f>
        <v>516124</v>
      </c>
      <c r="G17" s="89">
        <f>'MONTHLY STATS'!$C$91*2</f>
        <v>243736</v>
      </c>
      <c r="H17" s="89">
        <f>'MONTHLY STATS'!$C$106*2</f>
        <v>283954</v>
      </c>
      <c r="I17" s="89">
        <f>'MONTHLY STATS'!$C$121*2</f>
        <v>596530</v>
      </c>
      <c r="J17" s="89">
        <f>'MONTHLY STATS'!$C$136*2</f>
        <v>686888</v>
      </c>
      <c r="K17" s="89">
        <f>'MONTHLY STATS'!$C$151*2</f>
        <v>784330</v>
      </c>
      <c r="L17" s="89">
        <f>'MONTHLY STATS'!$C$166*2</f>
        <v>97484</v>
      </c>
      <c r="M17" s="89">
        <f>'MONTHLY STATS'!$C$181*2</f>
        <v>799530</v>
      </c>
      <c r="N17" s="89">
        <f>'MONTHLY STATS'!$C$196*2</f>
        <v>159896</v>
      </c>
      <c r="O17" s="90">
        <f t="shared" si="1"/>
        <v>5773292</v>
      </c>
      <c r="P17" s="83"/>
    </row>
    <row r="18" spans="1:16" ht="15.75" x14ac:dyDescent="0.25">
      <c r="A18" s="88">
        <f>DATE(2019,3,1)</f>
        <v>43525</v>
      </c>
      <c r="B18" s="89">
        <f>'MONTHLY STATS'!$C$17*2</f>
        <v>583976</v>
      </c>
      <c r="C18" s="89">
        <f>'MONTHLY STATS'!$C$32*2</f>
        <v>294450</v>
      </c>
      <c r="D18" s="89">
        <f>'MONTHLY STATS'!$C$47*2</f>
        <v>149640</v>
      </c>
      <c r="E18" s="89">
        <f>'MONTHLY STATS'!$C$62*2</f>
        <v>932366</v>
      </c>
      <c r="F18" s="89">
        <f>'MONTHLY STATS'!$C$77*2</f>
        <v>642176</v>
      </c>
      <c r="G18" s="89">
        <f>'MONTHLY STATS'!$C$92*2</f>
        <v>284718</v>
      </c>
      <c r="H18" s="89">
        <f>'MONTHLY STATS'!$C$107*2</f>
        <v>349722</v>
      </c>
      <c r="I18" s="89">
        <f>'MONTHLY STATS'!$C$122*2</f>
        <v>750876</v>
      </c>
      <c r="J18" s="89">
        <f>'MONTHLY STATS'!$C$137*2</f>
        <v>867654</v>
      </c>
      <c r="K18" s="89">
        <f>'MONTHLY STATS'!$C$152*2</f>
        <v>938980</v>
      </c>
      <c r="L18" s="89">
        <f>'MONTHLY STATS'!$C$167*2</f>
        <v>123356</v>
      </c>
      <c r="M18" s="89">
        <f>'MONTHLY STATS'!$C$182*2</f>
        <v>978224</v>
      </c>
      <c r="N18" s="89">
        <f>'MONTHLY STATS'!$C$197*2</f>
        <v>103180</v>
      </c>
      <c r="O18" s="90">
        <f t="shared" si="1"/>
        <v>6999318</v>
      </c>
      <c r="P18" s="83"/>
    </row>
    <row r="19" spans="1:16" ht="15.75" x14ac:dyDescent="0.25">
      <c r="A19" s="88">
        <f>DATE(2019,4,1)</f>
        <v>43556</v>
      </c>
      <c r="B19" s="89">
        <f>'MONTHLY STATS'!$C$18*2</f>
        <v>493038</v>
      </c>
      <c r="C19" s="89">
        <f>'MONTHLY STATS'!$C$33*2</f>
        <v>240218</v>
      </c>
      <c r="D19" s="89">
        <f>'MONTHLY STATS'!$C$48*2</f>
        <v>126218</v>
      </c>
      <c r="E19" s="89">
        <f>'MONTHLY STATS'!$C$63*2</f>
        <v>751106</v>
      </c>
      <c r="F19" s="89">
        <f>'MONTHLY STATS'!$C$78*2</f>
        <v>563654</v>
      </c>
      <c r="G19" s="89">
        <f>'MONTHLY STATS'!$C$93*2</f>
        <v>229628</v>
      </c>
      <c r="H19" s="89">
        <f>'MONTHLY STATS'!$C$108*2</f>
        <v>302892</v>
      </c>
      <c r="I19" s="89">
        <f>'MONTHLY STATS'!$C$123*2</f>
        <v>629244</v>
      </c>
      <c r="J19" s="89">
        <f>'MONTHLY STATS'!$C$138*2</f>
        <v>696036</v>
      </c>
      <c r="K19" s="89">
        <f>'MONTHLY STATS'!$C$153*2</f>
        <v>740208</v>
      </c>
      <c r="L19" s="89">
        <f>'MONTHLY STATS'!$C$168*2</f>
        <v>105268</v>
      </c>
      <c r="M19" s="89">
        <f>'MONTHLY STATS'!$C$183*2</f>
        <v>841238</v>
      </c>
      <c r="N19" s="89">
        <f>'MONTHLY STATS'!$C$198*2</f>
        <v>47834</v>
      </c>
      <c r="O19" s="90">
        <f t="shared" si="1"/>
        <v>5766582</v>
      </c>
      <c r="P19" s="83"/>
    </row>
    <row r="20" spans="1:16" ht="15.75" x14ac:dyDescent="0.25">
      <c r="A20" s="88">
        <f>DATE(2019,5,1)</f>
        <v>43586</v>
      </c>
      <c r="B20" s="89">
        <f>'MONTHLY STATS'!$C$19*2</f>
        <v>529198</v>
      </c>
      <c r="C20" s="89">
        <f>'MONTHLY STATS'!$C$34*2</f>
        <v>261240</v>
      </c>
      <c r="D20" s="89">
        <f>'MONTHLY STATS'!$C$49*2</f>
        <v>136666</v>
      </c>
      <c r="E20" s="89">
        <f>'MONTHLY STATS'!$C$64*2</f>
        <v>855754</v>
      </c>
      <c r="F20" s="89">
        <f>'MONTHLY STATS'!$C$79*2</f>
        <v>602966</v>
      </c>
      <c r="G20" s="89">
        <f>'MONTHLY STATS'!$C$94*2</f>
        <v>238004</v>
      </c>
      <c r="H20" s="89">
        <f>'MONTHLY STATS'!$C$109*2</f>
        <v>322948</v>
      </c>
      <c r="I20" s="89">
        <f>'MONTHLY STATS'!$C$124*2</f>
        <v>676336</v>
      </c>
      <c r="J20" s="89">
        <f>'MONTHLY STATS'!$C$139*2</f>
        <v>740608</v>
      </c>
      <c r="K20" s="89">
        <f>'MONTHLY STATS'!$C$154*2</f>
        <v>815292</v>
      </c>
      <c r="L20" s="89">
        <f>'MONTHLY STATS'!$C$169*2</f>
        <v>106642</v>
      </c>
      <c r="M20" s="89">
        <f>'MONTHLY STATS'!$C$184*2</f>
        <v>914852</v>
      </c>
      <c r="N20" s="89">
        <f>'MONTHLY STATS'!$C$199*2</f>
        <v>136840</v>
      </c>
      <c r="O20" s="90">
        <f t="shared" si="1"/>
        <v>6337346</v>
      </c>
      <c r="P20" s="83"/>
    </row>
    <row r="21" spans="1:16" ht="15.75" x14ac:dyDescent="0.25">
      <c r="A21" s="88">
        <f>DATE(2019,6,1)</f>
        <v>43617</v>
      </c>
      <c r="B21" s="89">
        <f>'MONTHLY STATS'!$C$20*2</f>
        <v>511244</v>
      </c>
      <c r="C21" s="89">
        <f>'MONTHLY STATS'!$C$35*2</f>
        <v>237386</v>
      </c>
      <c r="D21" s="89">
        <f>'MONTHLY STATS'!$C$50*2</f>
        <v>128150</v>
      </c>
      <c r="E21" s="89">
        <f>'MONTHLY STATS'!$C$65*2</f>
        <v>839172</v>
      </c>
      <c r="F21" s="89">
        <f>'MONTHLY STATS'!$C$80*2</f>
        <v>564768</v>
      </c>
      <c r="G21" s="89">
        <f>'MONTHLY STATS'!$C$95*2</f>
        <v>213894</v>
      </c>
      <c r="H21" s="89">
        <f>'MONTHLY STATS'!$C$110*2</f>
        <v>303626</v>
      </c>
      <c r="I21" s="89">
        <f>'MONTHLY STATS'!$C$125*2</f>
        <v>669498</v>
      </c>
      <c r="J21" s="89">
        <f>'MONTHLY STATS'!$C$140*2</f>
        <v>717104</v>
      </c>
      <c r="K21" s="89">
        <f>'MONTHLY STATS'!$C$155*2</f>
        <v>737610</v>
      </c>
      <c r="L21" s="89">
        <f>'MONTHLY STATS'!$C$170*2</f>
        <v>112194</v>
      </c>
      <c r="M21" s="89">
        <f>'MONTHLY STATS'!$C$185*2</f>
        <v>881718</v>
      </c>
      <c r="N21" s="89">
        <f>'MONTHLY STATS'!$C$200*2</f>
        <v>122680</v>
      </c>
      <c r="O21" s="90">
        <f t="shared" si="1"/>
        <v>6039044</v>
      </c>
      <c r="P21" s="83"/>
    </row>
    <row r="22" spans="1:16" ht="15.75" x14ac:dyDescent="0.25">
      <c r="A22" s="88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90"/>
      <c r="P22" s="83"/>
    </row>
    <row r="23" spans="1:16" ht="15.75" x14ac:dyDescent="0.25">
      <c r="A23" s="91" t="s">
        <v>29</v>
      </c>
      <c r="B23" s="90">
        <f t="shared" ref="B23:O23" si="2">SUM(B10:B21)</f>
        <v>6261304</v>
      </c>
      <c r="C23" s="90">
        <f t="shared" si="2"/>
        <v>3046998</v>
      </c>
      <c r="D23" s="90">
        <f t="shared" si="2"/>
        <v>1591358</v>
      </c>
      <c r="E23" s="90">
        <f t="shared" si="2"/>
        <v>9820974</v>
      </c>
      <c r="F23" s="90">
        <f t="shared" si="2"/>
        <v>6901690</v>
      </c>
      <c r="G23" s="90">
        <f>SUM(G10:G21)</f>
        <v>2937700</v>
      </c>
      <c r="H23" s="90">
        <f t="shared" si="2"/>
        <v>3704920</v>
      </c>
      <c r="I23" s="90">
        <f>SUM(I10:I21)</f>
        <v>8208378</v>
      </c>
      <c r="J23" s="90">
        <f t="shared" si="2"/>
        <v>9003682</v>
      </c>
      <c r="K23" s="90">
        <f>SUM(K10:K21)</f>
        <v>9894066</v>
      </c>
      <c r="L23" s="90">
        <f t="shared" si="2"/>
        <v>1317406</v>
      </c>
      <c r="M23" s="90">
        <f t="shared" si="2"/>
        <v>10619326</v>
      </c>
      <c r="N23" s="90">
        <f t="shared" si="2"/>
        <v>1692832</v>
      </c>
      <c r="O23" s="90">
        <f t="shared" si="2"/>
        <v>75000634</v>
      </c>
      <c r="P23" s="83"/>
    </row>
    <row r="24" spans="1:16" ht="16.5" thickBot="1" x14ac:dyDescent="0.3">
      <c r="A24" s="92"/>
      <c r="B24" s="90"/>
      <c r="C24" s="90"/>
      <c r="D24" s="90"/>
      <c r="E24" s="89"/>
      <c r="F24" s="89"/>
      <c r="G24" s="89"/>
      <c r="H24" s="89"/>
      <c r="I24" s="89"/>
      <c r="J24" s="90"/>
      <c r="K24" s="90"/>
      <c r="L24" s="90"/>
      <c r="M24" s="90"/>
      <c r="N24" s="90"/>
      <c r="O24" s="90"/>
      <c r="P24" s="83"/>
    </row>
    <row r="25" spans="1:16" ht="15.75" thickTop="1" x14ac:dyDescent="0.2">
      <c r="A25" s="93"/>
      <c r="B25" s="94"/>
      <c r="C25" s="94"/>
      <c r="D25" s="94"/>
      <c r="E25" s="94"/>
      <c r="F25" s="94"/>
      <c r="G25" s="94"/>
      <c r="H25" s="94"/>
      <c r="I25" s="94"/>
      <c r="J25" s="94"/>
      <c r="K25" s="95"/>
      <c r="L25" s="95"/>
      <c r="M25" s="95"/>
      <c r="N25" s="95"/>
      <c r="O25" s="95"/>
    </row>
    <row r="26" spans="1:16" ht="24" thickBot="1" x14ac:dyDescent="0.4">
      <c r="A26" s="96" t="s">
        <v>30</v>
      </c>
      <c r="B26" s="97"/>
      <c r="C26" s="98"/>
      <c r="D26" s="98"/>
      <c r="E26" s="98"/>
      <c r="F26" s="98"/>
      <c r="G26" s="98"/>
      <c r="H26" s="98"/>
      <c r="I26" s="98"/>
      <c r="J26" s="98"/>
      <c r="K26" s="99"/>
      <c r="L26" s="99"/>
      <c r="M26" s="99"/>
      <c r="N26" s="99"/>
      <c r="O26" s="99"/>
    </row>
    <row r="27" spans="1:16" ht="16.5" thickTop="1" x14ac:dyDescent="0.25">
      <c r="A27" s="100"/>
      <c r="B27" s="101"/>
      <c r="C27" s="101"/>
      <c r="D27" s="101"/>
      <c r="E27" s="102"/>
      <c r="F27" s="102"/>
      <c r="G27" s="102"/>
      <c r="H27" s="102"/>
      <c r="I27" s="102"/>
      <c r="J27" s="101"/>
      <c r="K27" s="103"/>
      <c r="L27" s="103"/>
      <c r="M27" s="103"/>
      <c r="N27" s="103"/>
      <c r="O27" s="104" t="s">
        <v>25</v>
      </c>
      <c r="P27" s="83"/>
    </row>
    <row r="28" spans="1:16" ht="15.75" x14ac:dyDescent="0.25">
      <c r="A28" s="105" t="s">
        <v>26</v>
      </c>
      <c r="B28" s="84" t="s">
        <v>13</v>
      </c>
      <c r="C28" s="84" t="s">
        <v>15</v>
      </c>
      <c r="D28" s="84" t="s">
        <v>56</v>
      </c>
      <c r="E28" s="275" t="s">
        <v>62</v>
      </c>
      <c r="F28" s="84" t="s">
        <v>16</v>
      </c>
      <c r="G28" s="84" t="s">
        <v>61</v>
      </c>
      <c r="H28" s="84" t="s">
        <v>17</v>
      </c>
      <c r="I28" s="84" t="s">
        <v>55</v>
      </c>
      <c r="J28" s="84" t="s">
        <v>27</v>
      </c>
      <c r="K28" s="106" t="s">
        <v>57</v>
      </c>
      <c r="L28" s="106" t="s">
        <v>53</v>
      </c>
      <c r="M28" s="106" t="s">
        <v>19</v>
      </c>
      <c r="N28" s="106" t="s">
        <v>54</v>
      </c>
      <c r="O28" s="106" t="s">
        <v>28</v>
      </c>
      <c r="P28" s="83"/>
    </row>
    <row r="29" spans="1:16" ht="16.5" thickBot="1" x14ac:dyDescent="0.3">
      <c r="A29" s="107"/>
      <c r="B29" s="108"/>
      <c r="C29" s="108"/>
      <c r="D29" s="108"/>
      <c r="E29" s="276"/>
      <c r="F29" s="84"/>
      <c r="G29" s="84"/>
      <c r="H29" s="84"/>
      <c r="I29" s="84"/>
      <c r="J29" s="108"/>
      <c r="K29" s="109"/>
      <c r="L29" s="109"/>
      <c r="M29" s="109"/>
      <c r="N29" s="109"/>
      <c r="O29" s="109"/>
      <c r="P29" s="83"/>
    </row>
    <row r="30" spans="1:16" ht="15.75" thickTop="1" x14ac:dyDescent="0.2">
      <c r="A30" s="110"/>
      <c r="B30" s="111"/>
      <c r="C30" s="111"/>
      <c r="D30" s="111"/>
      <c r="E30" s="112"/>
      <c r="F30" s="112"/>
      <c r="G30" s="112"/>
      <c r="H30" s="112"/>
      <c r="I30" s="112"/>
      <c r="J30" s="111"/>
      <c r="K30" s="113"/>
      <c r="L30" s="113"/>
      <c r="M30" s="113"/>
      <c r="N30" s="113"/>
      <c r="O30" s="113"/>
      <c r="P30" s="83"/>
    </row>
    <row r="31" spans="1:16" ht="15.75" x14ac:dyDescent="0.25">
      <c r="A31" s="88">
        <f>DATE(2018,7,1)</f>
        <v>43282</v>
      </c>
      <c r="B31" s="89">
        <f>'MONTHLY STATS'!$K$9*0.21</f>
        <v>2808760.5189</v>
      </c>
      <c r="C31" s="89">
        <f>'MONTHLY STATS'!$K$24*0.21</f>
        <v>1548718.5545999999</v>
      </c>
      <c r="D31" s="89">
        <f>'MONTHLY STATS'!$K$39*0.21</f>
        <v>685642.40850000002</v>
      </c>
      <c r="E31" s="89">
        <f>'MONTHLY STATS'!$K$54*0.21</f>
        <v>4237819.6182000004</v>
      </c>
      <c r="F31" s="89">
        <f>'MONTHLY STATS'!$K$69*0.21</f>
        <v>3127962.4383</v>
      </c>
      <c r="G31" s="89">
        <f>'MONTHLY STATS'!$K$84*0.21</f>
        <v>1095967.4354999999</v>
      </c>
      <c r="H31" s="89">
        <f>'MONTHLY STATS'!$K$99*0.21</f>
        <v>1213029.2600999998</v>
      </c>
      <c r="I31" s="89">
        <f>'MONTHLY STATS'!$K$114*0.21</f>
        <v>2819522.3153999997</v>
      </c>
      <c r="J31" s="89">
        <f>'MONTHLY STATS'!$K$129*0.21</f>
        <v>3701990.1891000001</v>
      </c>
      <c r="K31" s="89">
        <f>'MONTHLY STATS'!$K$144*0.21</f>
        <v>4113304.1313</v>
      </c>
      <c r="L31" s="89">
        <f>'MONTHLY STATS'!$K$159*0.21</f>
        <v>592155.43590000004</v>
      </c>
      <c r="M31" s="89">
        <f>'MONTHLY STATS'!$K$174*0.21</f>
        <v>4918106.7138</v>
      </c>
      <c r="N31" s="89">
        <f>'MONTHLY STATS'!$K$189*0.21</f>
        <v>755284.42499999993</v>
      </c>
      <c r="O31" s="90">
        <f t="shared" ref="O31:O36" si="3">SUM(B31:N31)</f>
        <v>31618263.444599997</v>
      </c>
      <c r="P31" s="83"/>
    </row>
    <row r="32" spans="1:16" ht="15.75" x14ac:dyDescent="0.25">
      <c r="A32" s="88">
        <f>DATE(2018,8,1)</f>
        <v>43313</v>
      </c>
      <c r="B32" s="89">
        <f>'MONTHLY STATS'!$K$10*0.21</f>
        <v>2931159.3863999997</v>
      </c>
      <c r="C32" s="89">
        <f>'MONTHLY STATS'!$K$25*0.21</f>
        <v>1490706.2645999999</v>
      </c>
      <c r="D32" s="89">
        <f>'MONTHLY STATS'!$K$40*0.21</f>
        <v>656176.97459999996</v>
      </c>
      <c r="E32" s="89">
        <f>'MONTHLY STATS'!$K$55*0.21</f>
        <v>4286184.1553999996</v>
      </c>
      <c r="F32" s="89">
        <f>'MONTHLY STATS'!$K$70*0.21</f>
        <v>3063779.8274999997</v>
      </c>
      <c r="G32" s="89">
        <f>'MONTHLY STATS'!$K$85*0.21</f>
        <v>1105283.0607</v>
      </c>
      <c r="H32" s="89">
        <f>'MONTHLY STATS'!$K$100*0.21</f>
        <v>1168175.9922</v>
      </c>
      <c r="I32" s="89">
        <f>'MONTHLY STATS'!$K$115*0.21</f>
        <v>2941388.9526</v>
      </c>
      <c r="J32" s="89">
        <f>'MONTHLY STATS'!$K$130*0.21</f>
        <v>3737886.2913000002</v>
      </c>
      <c r="K32" s="89">
        <f>'MONTHLY STATS'!$K$145*0.21</f>
        <v>4005327.3665999998</v>
      </c>
      <c r="L32" s="89">
        <f>'MONTHLY STATS'!$K$160*0.21</f>
        <v>583714.44809999992</v>
      </c>
      <c r="M32" s="89">
        <f>'MONTHLY STATS'!$K$175*0.21</f>
        <v>4995318.5750999991</v>
      </c>
      <c r="N32" s="89">
        <f>'MONTHLY STATS'!$K$190*0.21</f>
        <v>764230.7588999999</v>
      </c>
      <c r="O32" s="90">
        <f t="shared" si="3"/>
        <v>31729332.053999998</v>
      </c>
      <c r="P32" s="83"/>
    </row>
    <row r="33" spans="1:16" ht="15.75" x14ac:dyDescent="0.25">
      <c r="A33" s="88">
        <f>DATE(2018,9,1)</f>
        <v>43344</v>
      </c>
      <c r="B33" s="89">
        <f>'MONTHLY STATS'!$K$11*0.21</f>
        <v>2842581.483</v>
      </c>
      <c r="C33" s="89">
        <f>'MONTHLY STATS'!$K$26*0.21</f>
        <v>1368145.2161999999</v>
      </c>
      <c r="D33" s="89">
        <f>'MONTHLY STATS'!$K$41*0.21</f>
        <v>656634.22439999995</v>
      </c>
      <c r="E33" s="89">
        <f>'MONTHLY STATS'!$K$56*0.21</f>
        <v>4079116.23</v>
      </c>
      <c r="F33" s="89">
        <f>'MONTHLY STATS'!$K$71*0.21</f>
        <v>3198835.7645999999</v>
      </c>
      <c r="G33" s="89">
        <f>'MONTHLY STATS'!$K$86*0.21</f>
        <v>1062033.5711999999</v>
      </c>
      <c r="H33" s="89">
        <f>'MONTHLY STATS'!$K$101*0.21</f>
        <v>1128829.0229999998</v>
      </c>
      <c r="I33" s="89">
        <f>'MONTHLY STATS'!$K$116*0.21</f>
        <v>2791439.5508999997</v>
      </c>
      <c r="J33" s="89">
        <f>'MONTHLY STATS'!$K$131*0.21</f>
        <v>3485934.8369999998</v>
      </c>
      <c r="K33" s="89">
        <f>'MONTHLY STATS'!$K$146*0.21</f>
        <v>3820579.0244999998</v>
      </c>
      <c r="L33" s="89">
        <f>'MONTHLY STATS'!$K$161*0.21</f>
        <v>549592.94669999997</v>
      </c>
      <c r="M33" s="89">
        <f>'MONTHLY STATS'!$K$176*0.21</f>
        <v>4551602.0633999994</v>
      </c>
      <c r="N33" s="89">
        <f>'MONTHLY STATS'!$K$191*0.21</f>
        <v>718634.49</v>
      </c>
      <c r="O33" s="90">
        <f t="shared" si="3"/>
        <v>30253958.424899999</v>
      </c>
      <c r="P33" s="83"/>
    </row>
    <row r="34" spans="1:16" ht="15.75" x14ac:dyDescent="0.25">
      <c r="A34" s="88">
        <f>DATE(2018,10,1)</f>
        <v>43374</v>
      </c>
      <c r="B34" s="89">
        <f>'MONTHLY STATS'!$K$12*0.21</f>
        <v>2932705.0998</v>
      </c>
      <c r="C34" s="89">
        <f>'MONTHLY STATS'!$K$27*0.21</f>
        <v>1332895.5926999999</v>
      </c>
      <c r="D34" s="89">
        <f>'MONTHLY STATS'!$K$42*0.21</f>
        <v>597855.25379999995</v>
      </c>
      <c r="E34" s="89">
        <f>'MONTHLY STATS'!$K$57*0.21</f>
        <v>3812123.9772000001</v>
      </c>
      <c r="F34" s="89">
        <f>'MONTHLY STATS'!$K$72*0.21</f>
        <v>3083020.5230999999</v>
      </c>
      <c r="G34" s="89">
        <f>'MONTHLY STATS'!$K$87*0.21</f>
        <v>1037313.7824</v>
      </c>
      <c r="H34" s="89">
        <f>'MONTHLY STATS'!$K$102*0.21</f>
        <v>1103831.1479999998</v>
      </c>
      <c r="I34" s="89">
        <f>'MONTHLY STATS'!$K$117*0.21</f>
        <v>2792473.4586</v>
      </c>
      <c r="J34" s="89">
        <f>'MONTHLY STATS'!$K$132*0.21</f>
        <v>3165607.3155</v>
      </c>
      <c r="K34" s="89">
        <f>'MONTHLY STATS'!$K$147*0.21</f>
        <v>3519336.1875</v>
      </c>
      <c r="L34" s="89">
        <f>'MONTHLY STATS'!$K$162*0.21</f>
        <v>532447.41479999991</v>
      </c>
      <c r="M34" s="89">
        <f>'MONTHLY STATS'!$K$177*0.21</f>
        <v>4358384.9546999997</v>
      </c>
      <c r="N34" s="89">
        <f>'MONTHLY STATS'!$K$192*0.21</f>
        <v>712448.71530000004</v>
      </c>
      <c r="O34" s="90">
        <f t="shared" si="3"/>
        <v>28980443.4234</v>
      </c>
      <c r="P34" s="83"/>
    </row>
    <row r="35" spans="1:16" ht="15.75" x14ac:dyDescent="0.25">
      <c r="A35" s="88">
        <f>DATE(2018,11,1)</f>
        <v>43405</v>
      </c>
      <c r="B35" s="89">
        <f>'MONTHLY STATS'!$K$13*0.21</f>
        <v>2874984.1973999999</v>
      </c>
      <c r="C35" s="89">
        <f>'MONTHLY STATS'!$K$28*0.21</f>
        <v>1213355.4699000001</v>
      </c>
      <c r="D35" s="89">
        <f>'MONTHLY STATS'!$K$43*0.21</f>
        <v>598998.75209999993</v>
      </c>
      <c r="E35" s="89">
        <f>'MONTHLY STATS'!$K$58*0.21</f>
        <v>3727875.3497999995</v>
      </c>
      <c r="F35" s="89">
        <f>'MONTHLY STATS'!$K$73*0.21</f>
        <v>2897852.8362000003</v>
      </c>
      <c r="G35" s="89">
        <f>'MONTHLY STATS'!$K$88*0.21</f>
        <v>1029320.0547</v>
      </c>
      <c r="H35" s="89">
        <f>'MONTHLY STATS'!$K$103*0.21</f>
        <v>1065057.3108000001</v>
      </c>
      <c r="I35" s="89">
        <f>'MONTHLY STATS'!$K$118*0.21</f>
        <v>2691780.5754</v>
      </c>
      <c r="J35" s="89">
        <f>'MONTHLY STATS'!$K$133*0.21</f>
        <v>3111514.0496999999</v>
      </c>
      <c r="K35" s="89">
        <f>'MONTHLY STATS'!$K$148*0.21</f>
        <v>4096717.6866000001</v>
      </c>
      <c r="L35" s="89">
        <f>'MONTHLY STATS'!$K$163*0.21</f>
        <v>504987.98489999998</v>
      </c>
      <c r="M35" s="89">
        <f>'MONTHLY STATS'!$K$178*0.21</f>
        <v>4491364.5399000002</v>
      </c>
      <c r="N35" s="89">
        <f>'MONTHLY STATS'!$K$193*0.21</f>
        <v>706959.92850000004</v>
      </c>
      <c r="O35" s="90">
        <f t="shared" si="3"/>
        <v>29010768.735900003</v>
      </c>
      <c r="P35" s="83"/>
    </row>
    <row r="36" spans="1:16" ht="15.75" x14ac:dyDescent="0.25">
      <c r="A36" s="88">
        <f>DATE(2018,12,1)</f>
        <v>43435</v>
      </c>
      <c r="B36" s="89">
        <f>'MONTHLY STATS'!$K$14*0.21</f>
        <v>3213490.6628999999</v>
      </c>
      <c r="C36" s="89">
        <f>'MONTHLY STATS'!$K$29*0.21</f>
        <v>1414575.9431999999</v>
      </c>
      <c r="D36" s="89">
        <f>'MONTHLY STATS'!$K$44*0.21</f>
        <v>682107.81449999998</v>
      </c>
      <c r="E36" s="89">
        <f>'MONTHLY STATS'!$K$59*0.21</f>
        <v>4059527.6378999995</v>
      </c>
      <c r="F36" s="89">
        <f>'MONTHLY STATS'!$K$74*0.21</f>
        <v>3273280.9893</v>
      </c>
      <c r="G36" s="89">
        <f>'MONTHLY STATS'!$K$89*0.21</f>
        <v>1156960.9149</v>
      </c>
      <c r="H36" s="89">
        <f>'MONTHLY STATS'!$K$104*0.21</f>
        <v>1172315.1551999999</v>
      </c>
      <c r="I36" s="89">
        <f>'MONTHLY STATS'!$K$119*0.21</f>
        <v>2931099.2990999999</v>
      </c>
      <c r="J36" s="89">
        <f>'MONTHLY STATS'!$K$134*0.21</f>
        <v>3547985.0825999994</v>
      </c>
      <c r="K36" s="89">
        <f>'MONTHLY STATS'!$K$149*0.21</f>
        <v>4317409.8617999991</v>
      </c>
      <c r="L36" s="89">
        <f>'MONTHLY STATS'!$K$164*0.21</f>
        <v>548503.98329999996</v>
      </c>
      <c r="M36" s="89">
        <f>'MONTHLY STATS'!$K$179*0.21</f>
        <v>4838210.307</v>
      </c>
      <c r="N36" s="89">
        <f>'MONTHLY STATS'!$K$194*0.21</f>
        <v>790435.37159999995</v>
      </c>
      <c r="O36" s="90">
        <f t="shared" si="3"/>
        <v>31945903.0233</v>
      </c>
      <c r="P36" s="83"/>
    </row>
    <row r="37" spans="1:16" ht="15.75" x14ac:dyDescent="0.25">
      <c r="A37" s="88">
        <f>DATE(2019,1,1)</f>
        <v>43466</v>
      </c>
      <c r="B37" s="89">
        <f>'MONTHLY STATS'!$K$15*0.21</f>
        <v>2622449.7725999998</v>
      </c>
      <c r="C37" s="89">
        <f>'MONTHLY STATS'!$K$30*0.21</f>
        <v>1092520.7097</v>
      </c>
      <c r="D37" s="89">
        <f>'MONTHLY STATS'!$K$45*0.21</f>
        <v>581745.95849999995</v>
      </c>
      <c r="E37" s="89">
        <f>'MONTHLY STATS'!$K$60*0.21</f>
        <v>3446640.3551999996</v>
      </c>
      <c r="F37" s="89">
        <f>'MONTHLY STATS'!$K$75*0.21</f>
        <v>2628303.6758999997</v>
      </c>
      <c r="G37" s="89">
        <f>'MONTHLY STATS'!$K$90*0.21</f>
        <v>1002437.9147999999</v>
      </c>
      <c r="H37" s="89">
        <f>'MONTHLY STATS'!$K$105*0.21</f>
        <v>1004943.6200999998</v>
      </c>
      <c r="I37" s="89">
        <f>'MONTHLY STATS'!$K$120*0.21</f>
        <v>2623713.9516000003</v>
      </c>
      <c r="J37" s="89">
        <f>'MONTHLY STATS'!$K$135*0.21</f>
        <v>2960617.9805999999</v>
      </c>
      <c r="K37" s="89">
        <f>'MONTHLY STATS'!$K$150*0.21</f>
        <v>3376836.8823000002</v>
      </c>
      <c r="L37" s="89">
        <f>'MONTHLY STATS'!$K$165*0.21</f>
        <v>431652.47369999997</v>
      </c>
      <c r="M37" s="89">
        <f>'MONTHLY STATS'!$K$180*0.21</f>
        <v>4001448.6392999995</v>
      </c>
      <c r="N37" s="89">
        <f>'MONTHLY STATS'!$K$195*0.21</f>
        <v>700345.95329999994</v>
      </c>
      <c r="O37" s="90">
        <f t="shared" ref="O37:O42" si="4">SUM(B37:N37)</f>
        <v>26473657.887600001</v>
      </c>
      <c r="P37" s="83"/>
    </row>
    <row r="38" spans="1:16" ht="15.75" x14ac:dyDescent="0.25">
      <c r="A38" s="88">
        <f>DATE(2019,2,1)</f>
        <v>43497</v>
      </c>
      <c r="B38" s="89">
        <f>'MONTHLY STATS'!$K$16*0.21</f>
        <v>2623993.1045999997</v>
      </c>
      <c r="C38" s="89">
        <f>'MONTHLY STATS'!$K$31*0.21</f>
        <v>1309996.2686999999</v>
      </c>
      <c r="D38" s="89">
        <f>'MONTHLY STATS'!$K$46*0.21</f>
        <v>610229.68440000003</v>
      </c>
      <c r="E38" s="89">
        <f>'MONTHLY STATS'!$K$61*0.21</f>
        <v>3904587.6743999999</v>
      </c>
      <c r="F38" s="89">
        <f>'MONTHLY STATS'!$K$76*0.21</f>
        <v>2567812.3169999998</v>
      </c>
      <c r="G38" s="89">
        <f>'MONTHLY STATS'!$K$91*0.21</f>
        <v>1068621.8466</v>
      </c>
      <c r="H38" s="89">
        <f>'MONTHLY STATS'!$K$106*0.21</f>
        <v>1091789.7416999999</v>
      </c>
      <c r="I38" s="89">
        <f>'MONTHLY STATS'!$K$121*0.21</f>
        <v>2572574.9783999999</v>
      </c>
      <c r="J38" s="89">
        <f>'MONTHLY STATS'!$K$136*0.21</f>
        <v>3136225.9572000001</v>
      </c>
      <c r="K38" s="89">
        <f>'MONTHLY STATS'!$K$151*0.21</f>
        <v>3665360.6388000003</v>
      </c>
      <c r="L38" s="89">
        <f>'MONTHLY STATS'!$K$166*0.21</f>
        <v>512477.47319999995</v>
      </c>
      <c r="M38" s="89">
        <f>'MONTHLY STATS'!$K$181*0.21</f>
        <v>4387331.7200999996</v>
      </c>
      <c r="N38" s="89">
        <f>'MONTHLY STATS'!$K$196*0.21</f>
        <v>747519.3263999999</v>
      </c>
      <c r="O38" s="90">
        <f t="shared" si="4"/>
        <v>28198520.7315</v>
      </c>
      <c r="P38" s="83"/>
    </row>
    <row r="39" spans="1:16" ht="15.75" x14ac:dyDescent="0.25">
      <c r="A39" s="88">
        <f>DATE(2019,3,1)</f>
        <v>43525</v>
      </c>
      <c r="B39" s="89">
        <f>'MONTHLY STATS'!$K$17*0.21</f>
        <v>3247536.1233000001</v>
      </c>
      <c r="C39" s="89">
        <f>'MONTHLY STATS'!$K$32*0.21</f>
        <v>1649339.9748</v>
      </c>
      <c r="D39" s="89">
        <f>'MONTHLY STATS'!$K$47*0.21</f>
        <v>805924.5872999999</v>
      </c>
      <c r="E39" s="89">
        <f>'MONTHLY STATS'!$K$62*0.21</f>
        <v>4826460.2253</v>
      </c>
      <c r="F39" s="89">
        <f>'MONTHLY STATS'!$K$77*0.21</f>
        <v>3772800.5678999997</v>
      </c>
      <c r="G39" s="89">
        <f>'MONTHLY STATS'!$K$92*0.21</f>
        <v>1298138.8811999999</v>
      </c>
      <c r="H39" s="89">
        <f>'MONTHLY STATS'!$K$107*0.21</f>
        <v>1381962.2984999998</v>
      </c>
      <c r="I39" s="89">
        <f>'MONTHLY STATS'!$K$122*0.21</f>
        <v>3327781.4808</v>
      </c>
      <c r="J39" s="89">
        <f>'MONTHLY STATS'!$K$137*0.21</f>
        <v>3920219.8769999999</v>
      </c>
      <c r="K39" s="89">
        <f>'MONTHLY STATS'!$K$152*0.21</f>
        <v>4378338.3797999993</v>
      </c>
      <c r="L39" s="89">
        <f>'MONTHLY STATS'!$K$167*0.21</f>
        <v>646677.80099999998</v>
      </c>
      <c r="M39" s="89">
        <f>'MONTHLY STATS'!$K$182*0.21</f>
        <v>5215949.9300999995</v>
      </c>
      <c r="N39" s="89">
        <f>'MONTHLY STATS'!$K$197*0.21</f>
        <v>478042.85969999997</v>
      </c>
      <c r="O39" s="90">
        <f t="shared" si="4"/>
        <v>34949172.986699998</v>
      </c>
      <c r="P39" s="83"/>
    </row>
    <row r="40" spans="1:16" ht="15.75" x14ac:dyDescent="0.25">
      <c r="A40" s="88">
        <f>DATE(2019,4,1)</f>
        <v>43556</v>
      </c>
      <c r="B40" s="89">
        <f>'MONTHLY STATS'!$K$18*0.21</f>
        <v>2779684.3556999997</v>
      </c>
      <c r="C40" s="89">
        <f>'MONTHLY STATS'!$K$33*0.21</f>
        <v>1301373.0156</v>
      </c>
      <c r="D40" s="89">
        <f>'MONTHLY STATS'!$K$48*0.21</f>
        <v>637677.1716</v>
      </c>
      <c r="E40" s="89">
        <f>'MONTHLY STATS'!$K$63*0.21</f>
        <v>3950132.1908999998</v>
      </c>
      <c r="F40" s="89">
        <f>'MONTHLY STATS'!$K$78*0.21</f>
        <v>3015147.4142999998</v>
      </c>
      <c r="G40" s="89">
        <f>'MONTHLY STATS'!$K$93*0.21</f>
        <v>1082804.2008</v>
      </c>
      <c r="H40" s="89">
        <f>'MONTHLY STATS'!$K$108*0.21</f>
        <v>1196176.6740000001</v>
      </c>
      <c r="I40" s="89">
        <f>'MONTHLY STATS'!$K$123*0.21</f>
        <v>2704061.9423999996</v>
      </c>
      <c r="J40" s="89">
        <f>'MONTHLY STATS'!$K$138*0.21</f>
        <v>3335346.4934999999</v>
      </c>
      <c r="K40" s="89">
        <f>'MONTHLY STATS'!$K$153*0.21</f>
        <v>3712898.4416999999</v>
      </c>
      <c r="L40" s="89">
        <f>'MONTHLY STATS'!$K$168*0.21</f>
        <v>529550.02590000001</v>
      </c>
      <c r="M40" s="89">
        <f>'MONTHLY STATS'!$K$183*0.21</f>
        <v>4733142.0464999992</v>
      </c>
      <c r="N40" s="89">
        <f>'MONTHLY STATS'!$K$198*0.21</f>
        <v>265205.92560000002</v>
      </c>
      <c r="O40" s="90">
        <f t="shared" si="4"/>
        <v>29243199.898499995</v>
      </c>
      <c r="P40" s="83"/>
    </row>
    <row r="41" spans="1:16" ht="15.75" x14ac:dyDescent="0.25">
      <c r="A41" s="88">
        <f>DATE(2019,5,1)</f>
        <v>43586</v>
      </c>
      <c r="B41" s="89">
        <f>'MONTHLY STATS'!$K$19*0.21</f>
        <v>3044961.7841999996</v>
      </c>
      <c r="C41" s="89">
        <f>'MONTHLY STATS'!$K$34*0.21</f>
        <v>1442327.4494999999</v>
      </c>
      <c r="D41" s="89">
        <f>'MONTHLY STATS'!$K$49*0.21</f>
        <v>679851.9399</v>
      </c>
      <c r="E41" s="89">
        <f>'MONTHLY STATS'!$K$64*0.21</f>
        <v>4381682.9930999996</v>
      </c>
      <c r="F41" s="89">
        <f>'MONTHLY STATS'!$K$79*0.21</f>
        <v>3647742.5397000001</v>
      </c>
      <c r="G41" s="89">
        <f>'MONTHLY STATS'!$K$94*0.21</f>
        <v>1091248.0593000001</v>
      </c>
      <c r="H41" s="89">
        <f>'MONTHLY STATS'!$K$109*0.21</f>
        <v>1275864.0363</v>
      </c>
      <c r="I41" s="89">
        <f>'MONTHLY STATS'!$K$124*0.21</f>
        <v>2998785.7241999996</v>
      </c>
      <c r="J41" s="89">
        <f>'MONTHLY STATS'!$K$139*0.21</f>
        <v>3552243.0216000001</v>
      </c>
      <c r="K41" s="89">
        <f>'MONTHLY STATS'!$K$154*0.21</f>
        <v>3757918.4894999997</v>
      </c>
      <c r="L41" s="89">
        <f>'MONTHLY STATS'!$K$169*0.21</f>
        <v>528178.38360000006</v>
      </c>
      <c r="M41" s="89">
        <f>'MONTHLY STATS'!$K$184*0.21</f>
        <v>4946774.9352000002</v>
      </c>
      <c r="N41" s="89">
        <f>'MONTHLY STATS'!$K$199*0.21</f>
        <v>677802.15299999993</v>
      </c>
      <c r="O41" s="90">
        <f t="shared" si="4"/>
        <v>32025381.509100001</v>
      </c>
      <c r="P41" s="83"/>
    </row>
    <row r="42" spans="1:16" ht="15.75" x14ac:dyDescent="0.25">
      <c r="A42" s="88">
        <f>DATE(2019,6,1)</f>
        <v>43617</v>
      </c>
      <c r="B42" s="89">
        <f>'MONTHLY STATS'!$K$20*0.21</f>
        <v>2793198.9372</v>
      </c>
      <c r="C42" s="89">
        <f>'MONTHLY STATS'!$K$35*0.21</f>
        <v>1351011.8684999999</v>
      </c>
      <c r="D42" s="89">
        <f>'MONTHLY STATS'!$K$50*0.21</f>
        <v>654086.38679999998</v>
      </c>
      <c r="E42" s="89">
        <f>'MONTHLY STATS'!$K$65*0.21</f>
        <v>4317985.7406000001</v>
      </c>
      <c r="F42" s="89">
        <f>'MONTHLY STATS'!$K$80*0.21</f>
        <v>3040959.8162999996</v>
      </c>
      <c r="G42" s="89">
        <f>'MONTHLY STATS'!$K$95*0.21</f>
        <v>957466.41269999999</v>
      </c>
      <c r="H42" s="89">
        <f>'MONTHLY STATS'!$K$110*0.21</f>
        <v>1152431.6810999999</v>
      </c>
      <c r="I42" s="89">
        <f>'MONTHLY STATS'!$K$125*0.21</f>
        <v>2849355.9485999998</v>
      </c>
      <c r="J42" s="89">
        <f>'MONTHLY STATS'!$K$140*0.21</f>
        <v>3317838.5960999997</v>
      </c>
      <c r="K42" s="89">
        <f>'MONTHLY STATS'!$K$155*0.21</f>
        <v>3506628.4197</v>
      </c>
      <c r="L42" s="89">
        <f>'MONTHLY STATS'!$K$170*0.21</f>
        <v>540494.65889999992</v>
      </c>
      <c r="M42" s="89">
        <f>'MONTHLY STATS'!$K$185*0.21</f>
        <v>4994394.0060000001</v>
      </c>
      <c r="N42" s="89">
        <f>'MONTHLY STATS'!$K$200*0.21</f>
        <v>604700.35709999991</v>
      </c>
      <c r="O42" s="90">
        <f t="shared" si="4"/>
        <v>30080552.829599999</v>
      </c>
      <c r="P42" s="83"/>
    </row>
    <row r="43" spans="1:16" ht="15.75" x14ac:dyDescent="0.25">
      <c r="A43" s="88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90"/>
      <c r="P43" s="83"/>
    </row>
    <row r="44" spans="1:16" ht="15.75" x14ac:dyDescent="0.25">
      <c r="A44" s="91" t="s">
        <v>29</v>
      </c>
      <c r="B44" s="90">
        <f t="shared" ref="B44:O44" si="5">SUM(B31:B42)</f>
        <v>34715505.426000006</v>
      </c>
      <c r="C44" s="90">
        <f t="shared" si="5"/>
        <v>16514966.327999998</v>
      </c>
      <c r="D44" s="90">
        <f t="shared" si="5"/>
        <v>7846931.1563999988</v>
      </c>
      <c r="E44" s="90">
        <f t="shared" si="5"/>
        <v>49030136.147999994</v>
      </c>
      <c r="F44" s="90">
        <f t="shared" si="5"/>
        <v>37317498.710099995</v>
      </c>
      <c r="G44" s="90">
        <f t="shared" si="5"/>
        <v>12987596.1348</v>
      </c>
      <c r="H44" s="90">
        <f t="shared" si="5"/>
        <v>13954405.941</v>
      </c>
      <c r="I44" s="90">
        <f>SUM(I31:I42)</f>
        <v>34043978.177999996</v>
      </c>
      <c r="J44" s="90">
        <f t="shared" si="5"/>
        <v>40973409.691199996</v>
      </c>
      <c r="K44" s="90">
        <f>SUM(K31:K42)</f>
        <v>46270655.510099992</v>
      </c>
      <c r="L44" s="90">
        <f t="shared" si="5"/>
        <v>6500433.0300000003</v>
      </c>
      <c r="M44" s="90">
        <f t="shared" si="5"/>
        <v>56432028.431099996</v>
      </c>
      <c r="N44" s="90">
        <f t="shared" si="5"/>
        <v>7921610.2643999988</v>
      </c>
      <c r="O44" s="90">
        <f t="shared" si="5"/>
        <v>364509154.94909996</v>
      </c>
      <c r="P44" s="83"/>
    </row>
    <row r="45" spans="1:16" ht="16.5" thickBot="1" x14ac:dyDescent="0.3">
      <c r="A45" s="92"/>
      <c r="B45" s="90"/>
      <c r="C45" s="90"/>
      <c r="D45" s="90"/>
      <c r="E45" s="89"/>
      <c r="F45" s="89"/>
      <c r="G45" s="89"/>
      <c r="H45" s="89"/>
      <c r="I45" s="89"/>
      <c r="J45" s="90"/>
      <c r="K45" s="90"/>
      <c r="L45" s="90"/>
      <c r="M45" s="90"/>
      <c r="N45" s="90"/>
      <c r="O45" s="90"/>
      <c r="P45" s="83"/>
    </row>
    <row r="46" spans="1:16" ht="15.75" thickTop="1" x14ac:dyDescent="0.2">
      <c r="A46" s="114"/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</row>
    <row r="47" spans="1:16" x14ac:dyDescent="0.2">
      <c r="A47" s="288"/>
      <c r="B47" s="287"/>
      <c r="C47" s="287"/>
      <c r="D47" s="287"/>
      <c r="E47" s="287"/>
      <c r="F47" s="287"/>
      <c r="G47" s="287"/>
      <c r="H47" s="287"/>
      <c r="I47" s="287"/>
      <c r="J47" s="287"/>
      <c r="K47" s="287"/>
      <c r="L47" s="287"/>
      <c r="M47" s="287"/>
      <c r="N47" s="287"/>
      <c r="O47" s="287"/>
    </row>
    <row r="48" spans="1:16" x14ac:dyDescent="0.2">
      <c r="A48" s="287"/>
      <c r="B48" s="287"/>
      <c r="C48" s="287"/>
      <c r="D48" s="287"/>
      <c r="E48" s="287"/>
      <c r="F48" s="287"/>
      <c r="G48" s="287"/>
      <c r="H48" s="287"/>
      <c r="I48" s="287"/>
      <c r="J48" s="287"/>
      <c r="K48" s="287"/>
      <c r="L48" s="287"/>
      <c r="M48" s="287"/>
      <c r="N48" s="287"/>
      <c r="O48" s="287"/>
    </row>
    <row r="49" spans="1:9" ht="15.75" x14ac:dyDescent="0.25">
      <c r="A49" s="115" t="s">
        <v>31</v>
      </c>
      <c r="B49" s="98"/>
      <c r="C49" s="98"/>
      <c r="D49" s="98"/>
      <c r="E49" s="98"/>
      <c r="F49" s="98"/>
      <c r="G49" s="98"/>
      <c r="H49" s="98"/>
      <c r="I49" s="98"/>
    </row>
    <row r="50" spans="1:9" ht="15.75" x14ac:dyDescent="0.25">
      <c r="A50" s="115"/>
      <c r="B50" s="98"/>
      <c r="C50" s="98"/>
      <c r="D50" s="98"/>
      <c r="E50" s="98"/>
      <c r="F50" s="98"/>
      <c r="G50" s="98"/>
      <c r="H50" s="98"/>
      <c r="I50" s="98"/>
    </row>
    <row r="51" spans="1:9" ht="15.75" x14ac:dyDescent="0.25">
      <c r="A51" s="72"/>
    </row>
  </sheetData>
  <phoneticPr fontId="0" type="noConversion"/>
  <printOptions horizontalCentered="1"/>
  <pageMargins left="0.3" right="0.05" top="0.31944444444444398" bottom="0.25" header="0.5" footer="0.5"/>
  <pageSetup scale="5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209"/>
  <sheetViews>
    <sheetView showOutlineSymbols="0" zoomScaleNormal="100" workbookViewId="0">
      <selection activeCell="A5" sqref="A5"/>
    </sheetView>
  </sheetViews>
  <sheetFormatPr defaultColWidth="9.6640625" defaultRowHeight="15" x14ac:dyDescent="0.2"/>
  <cols>
    <col min="1" max="1" width="27.6640625" style="118" customWidth="1"/>
    <col min="2" max="2" width="9.6640625" style="118" customWidth="1"/>
    <col min="3" max="3" width="16.6640625" style="209" customWidth="1"/>
    <col min="4" max="5" width="15.6640625" style="209" customWidth="1"/>
    <col min="6" max="6" width="9.6640625" style="118" customWidth="1"/>
    <col min="7" max="7" width="10.5546875" style="221" customWidth="1"/>
    <col min="8" max="16384" width="9.6640625" style="118"/>
  </cols>
  <sheetData>
    <row r="1" spans="1:8" ht="18" x14ac:dyDescent="0.25">
      <c r="A1" s="116" t="s">
        <v>0</v>
      </c>
      <c r="B1" s="117"/>
      <c r="C1" s="200"/>
      <c r="D1" s="200"/>
      <c r="E1" s="200"/>
      <c r="F1" s="117"/>
      <c r="G1" s="210"/>
    </row>
    <row r="2" spans="1:8" ht="18" customHeight="1" x14ac:dyDescent="0.3">
      <c r="A2" s="119" t="s">
        <v>32</v>
      </c>
      <c r="B2" s="117"/>
      <c r="C2" s="200"/>
      <c r="D2" s="200"/>
      <c r="E2" s="200"/>
      <c r="F2" s="117"/>
      <c r="G2" s="210"/>
    </row>
    <row r="3" spans="1:8" ht="18" customHeight="1" x14ac:dyDescent="0.25">
      <c r="A3" s="283" t="s">
        <v>72</v>
      </c>
      <c r="B3" s="117"/>
      <c r="C3" s="200"/>
      <c r="D3" s="200"/>
      <c r="E3" s="200"/>
      <c r="F3" s="117"/>
      <c r="G3" s="210"/>
    </row>
    <row r="4" spans="1:8" x14ac:dyDescent="0.2">
      <c r="A4" s="284" t="s">
        <v>73</v>
      </c>
      <c r="B4" s="117"/>
      <c r="C4" s="200"/>
      <c r="D4" s="200"/>
      <c r="E4" s="200"/>
      <c r="F4" s="117"/>
      <c r="G4" s="210"/>
    </row>
    <row r="5" spans="1:8" ht="15.75" x14ac:dyDescent="0.25">
      <c r="A5" s="117"/>
      <c r="B5" s="117"/>
      <c r="C5" s="200"/>
      <c r="D5" s="200"/>
      <c r="E5" s="200"/>
      <c r="F5" s="117"/>
      <c r="G5" s="211" t="s">
        <v>1</v>
      </c>
    </row>
    <row r="6" spans="1:8" ht="16.5" thickTop="1" x14ac:dyDescent="0.25">
      <c r="A6" s="120"/>
      <c r="B6" s="121" t="s">
        <v>2</v>
      </c>
      <c r="C6" s="201" t="s">
        <v>33</v>
      </c>
      <c r="D6" s="201" t="s">
        <v>33</v>
      </c>
      <c r="E6" s="201" t="s">
        <v>3</v>
      </c>
      <c r="F6" s="122"/>
      <c r="G6" s="212" t="s">
        <v>34</v>
      </c>
      <c r="H6" s="123"/>
    </row>
    <row r="7" spans="1:8" ht="16.5" thickBot="1" x14ac:dyDescent="0.3">
      <c r="A7" s="124" t="s">
        <v>5</v>
      </c>
      <c r="B7" s="125" t="s">
        <v>6</v>
      </c>
      <c r="C7" s="262" t="s">
        <v>35</v>
      </c>
      <c r="D7" s="202" t="s">
        <v>36</v>
      </c>
      <c r="E7" s="202" t="s">
        <v>36</v>
      </c>
      <c r="F7" s="126" t="s">
        <v>8</v>
      </c>
      <c r="G7" s="213" t="s">
        <v>37</v>
      </c>
      <c r="H7" s="123"/>
    </row>
    <row r="8" spans="1:8" ht="15.75" customHeight="1" thickTop="1" x14ac:dyDescent="0.25">
      <c r="A8" s="127"/>
      <c r="B8" s="128"/>
      <c r="C8" s="203"/>
      <c r="D8" s="203"/>
      <c r="E8" s="203"/>
      <c r="F8" s="129"/>
      <c r="G8" s="214"/>
      <c r="H8" s="123"/>
    </row>
    <row r="9" spans="1:8" ht="15.75" x14ac:dyDescent="0.25">
      <c r="A9" s="130" t="s">
        <v>38</v>
      </c>
      <c r="B9" s="131">
        <f>DATE(2018,7,1)</f>
        <v>43282</v>
      </c>
      <c r="C9" s="204">
        <v>10277324</v>
      </c>
      <c r="D9" s="204">
        <v>1826329</v>
      </c>
      <c r="E9" s="204">
        <v>1744231.98</v>
      </c>
      <c r="F9" s="132">
        <f t="shared" ref="F9:F20" si="0">(+D9-E9)/E9</f>
        <v>4.7067718595550589E-2</v>
      </c>
      <c r="G9" s="215">
        <f t="shared" ref="G9:G20" si="1">D9/C9</f>
        <v>0.17770472157927492</v>
      </c>
      <c r="H9" s="123"/>
    </row>
    <row r="10" spans="1:8" ht="15.75" x14ac:dyDescent="0.25">
      <c r="A10" s="130"/>
      <c r="B10" s="131">
        <f>DATE(2018,8,1)</f>
        <v>43313</v>
      </c>
      <c r="C10" s="204">
        <v>10565544</v>
      </c>
      <c r="D10" s="204">
        <v>1679235.5</v>
      </c>
      <c r="E10" s="204">
        <v>1558308</v>
      </c>
      <c r="F10" s="132">
        <f t="shared" si="0"/>
        <v>7.7601796307276871E-2</v>
      </c>
      <c r="G10" s="215">
        <f t="shared" si="1"/>
        <v>0.15893507234459484</v>
      </c>
      <c r="H10" s="123"/>
    </row>
    <row r="11" spans="1:8" ht="15.75" x14ac:dyDescent="0.25">
      <c r="A11" s="130"/>
      <c r="B11" s="131">
        <f>DATE(2018,9,1)</f>
        <v>43344</v>
      </c>
      <c r="C11" s="204">
        <v>9926032</v>
      </c>
      <c r="D11" s="204">
        <v>2056251</v>
      </c>
      <c r="E11" s="204">
        <v>1764006.5</v>
      </c>
      <c r="F11" s="132">
        <f t="shared" si="0"/>
        <v>0.16567087479552939</v>
      </c>
      <c r="G11" s="215">
        <f t="shared" si="1"/>
        <v>0.20715740187015314</v>
      </c>
      <c r="H11" s="123"/>
    </row>
    <row r="12" spans="1:8" ht="15.75" x14ac:dyDescent="0.25">
      <c r="A12" s="130"/>
      <c r="B12" s="131">
        <f>DATE(2018,10,1)</f>
        <v>43374</v>
      </c>
      <c r="C12" s="204">
        <v>10436409</v>
      </c>
      <c r="D12" s="204">
        <v>2198521</v>
      </c>
      <c r="E12" s="204">
        <v>1651958.5</v>
      </c>
      <c r="F12" s="132">
        <f t="shared" si="0"/>
        <v>0.33085728243173179</v>
      </c>
      <c r="G12" s="215">
        <f t="shared" si="1"/>
        <v>0.21065876203203612</v>
      </c>
      <c r="H12" s="123"/>
    </row>
    <row r="13" spans="1:8" ht="15.75" x14ac:dyDescent="0.25">
      <c r="A13" s="130"/>
      <c r="B13" s="131">
        <f>DATE(2018,11,1)</f>
        <v>43405</v>
      </c>
      <c r="C13" s="204">
        <v>10530469.5</v>
      </c>
      <c r="D13" s="204">
        <v>2373996</v>
      </c>
      <c r="E13" s="204">
        <v>2257240.5</v>
      </c>
      <c r="F13" s="132">
        <f t="shared" si="0"/>
        <v>5.1724882660930456E-2</v>
      </c>
      <c r="G13" s="215">
        <f t="shared" si="1"/>
        <v>0.22544066055174464</v>
      </c>
      <c r="H13" s="123"/>
    </row>
    <row r="14" spans="1:8" ht="15.75" x14ac:dyDescent="0.25">
      <c r="A14" s="130"/>
      <c r="B14" s="131">
        <f>DATE(2018,12,1)</f>
        <v>43435</v>
      </c>
      <c r="C14" s="204">
        <v>11926428</v>
      </c>
      <c r="D14" s="204">
        <v>2548450</v>
      </c>
      <c r="E14" s="204">
        <v>1815083.5</v>
      </c>
      <c r="F14" s="132">
        <f t="shared" si="0"/>
        <v>0.40404008961571192</v>
      </c>
      <c r="G14" s="215">
        <f t="shared" si="1"/>
        <v>0.21368091099866615</v>
      </c>
      <c r="H14" s="123"/>
    </row>
    <row r="15" spans="1:8" ht="15.75" x14ac:dyDescent="0.25">
      <c r="A15" s="130"/>
      <c r="B15" s="131">
        <f>DATE(2019,1,1)</f>
        <v>43466</v>
      </c>
      <c r="C15" s="204">
        <v>10847299</v>
      </c>
      <c r="D15" s="204">
        <v>2049686.5</v>
      </c>
      <c r="E15" s="204">
        <v>1650734.5</v>
      </c>
      <c r="F15" s="132">
        <f t="shared" si="0"/>
        <v>0.24168150602050179</v>
      </c>
      <c r="G15" s="215">
        <f t="shared" si="1"/>
        <v>0.18895823743772527</v>
      </c>
      <c r="H15" s="123"/>
    </row>
    <row r="16" spans="1:8" ht="15.75" x14ac:dyDescent="0.25">
      <c r="A16" s="130"/>
      <c r="B16" s="131">
        <f>DATE(2019,2,1)</f>
        <v>43497</v>
      </c>
      <c r="C16" s="204">
        <v>9528168</v>
      </c>
      <c r="D16" s="204">
        <v>1917312.5</v>
      </c>
      <c r="E16" s="204">
        <v>2102175.5</v>
      </c>
      <c r="F16" s="132">
        <f t="shared" si="0"/>
        <v>-8.7938899487697383E-2</v>
      </c>
      <c r="G16" s="215">
        <f t="shared" si="1"/>
        <v>0.20122572355987006</v>
      </c>
      <c r="H16" s="123"/>
    </row>
    <row r="17" spans="1:8" ht="15.75" x14ac:dyDescent="0.25">
      <c r="A17" s="130"/>
      <c r="B17" s="131">
        <f>DATE(2019,3,1)</f>
        <v>43525</v>
      </c>
      <c r="C17" s="204">
        <v>11882780</v>
      </c>
      <c r="D17" s="204">
        <v>1899536.5</v>
      </c>
      <c r="E17" s="204">
        <v>2003810.5</v>
      </c>
      <c r="F17" s="132">
        <f t="shared" si="0"/>
        <v>-5.2037854876995603E-2</v>
      </c>
      <c r="G17" s="215">
        <f t="shared" si="1"/>
        <v>0.15985623734513305</v>
      </c>
      <c r="H17" s="123"/>
    </row>
    <row r="18" spans="1:8" ht="15.75" x14ac:dyDescent="0.25">
      <c r="A18" s="130"/>
      <c r="B18" s="131">
        <f>DATE(2019,4,1)</f>
        <v>43556</v>
      </c>
      <c r="C18" s="204">
        <v>10473169.5</v>
      </c>
      <c r="D18" s="204">
        <v>1787280.5</v>
      </c>
      <c r="E18" s="204">
        <v>1851064.5</v>
      </c>
      <c r="F18" s="132">
        <f t="shared" si="0"/>
        <v>-3.445801051232953E-2</v>
      </c>
      <c r="G18" s="215">
        <f t="shared" si="1"/>
        <v>0.17065325830924441</v>
      </c>
      <c r="H18" s="123"/>
    </row>
    <row r="19" spans="1:8" ht="15.75" x14ac:dyDescent="0.25">
      <c r="A19" s="130"/>
      <c r="B19" s="131">
        <f>DATE(2019,5,1)</f>
        <v>43586</v>
      </c>
      <c r="C19" s="204">
        <v>9954750.5</v>
      </c>
      <c r="D19" s="204">
        <v>1875195.5</v>
      </c>
      <c r="E19" s="204">
        <v>1594398</v>
      </c>
      <c r="F19" s="132">
        <f t="shared" si="0"/>
        <v>0.17611506035506819</v>
      </c>
      <c r="G19" s="215">
        <f t="shared" si="1"/>
        <v>0.18837192353540153</v>
      </c>
      <c r="H19" s="123"/>
    </row>
    <row r="20" spans="1:8" ht="15.75" x14ac:dyDescent="0.25">
      <c r="A20" s="130"/>
      <c r="B20" s="131">
        <f>DATE(2019,6,1)</f>
        <v>43617</v>
      </c>
      <c r="C20" s="204">
        <v>9576371</v>
      </c>
      <c r="D20" s="204">
        <v>1507045</v>
      </c>
      <c r="E20" s="204">
        <v>1712322</v>
      </c>
      <c r="F20" s="132">
        <f t="shared" si="0"/>
        <v>-0.11988224177461949</v>
      </c>
      <c r="G20" s="215">
        <f t="shared" si="1"/>
        <v>0.1573712004265499</v>
      </c>
      <c r="H20" s="123"/>
    </row>
    <row r="21" spans="1:8" ht="15.75" thickBot="1" x14ac:dyDescent="0.25">
      <c r="A21" s="133"/>
      <c r="B21" s="134"/>
      <c r="C21" s="204"/>
      <c r="D21" s="204"/>
      <c r="E21" s="204"/>
      <c r="F21" s="132"/>
      <c r="G21" s="215"/>
      <c r="H21" s="123"/>
    </row>
    <row r="22" spans="1:8" ht="17.25" thickTop="1" thickBot="1" x14ac:dyDescent="0.3">
      <c r="A22" s="135" t="s">
        <v>14</v>
      </c>
      <c r="B22" s="136"/>
      <c r="C22" s="201">
        <f>SUM(C9:C21)</f>
        <v>125924744.5</v>
      </c>
      <c r="D22" s="201">
        <f>SUM(D9:D21)</f>
        <v>23718839</v>
      </c>
      <c r="E22" s="201">
        <f>SUM(E9:E21)</f>
        <v>21705333.98</v>
      </c>
      <c r="F22" s="137">
        <f>(+D22-E22)/E22</f>
        <v>9.2765447509598725E-2</v>
      </c>
      <c r="G22" s="212">
        <f>D22/C22</f>
        <v>0.18835725332760156</v>
      </c>
      <c r="H22" s="123"/>
    </row>
    <row r="23" spans="1:8" ht="15.75" customHeight="1" thickTop="1" x14ac:dyDescent="0.25">
      <c r="A23" s="138"/>
      <c r="B23" s="139"/>
      <c r="C23" s="205"/>
      <c r="D23" s="205"/>
      <c r="E23" s="205"/>
      <c r="F23" s="140"/>
      <c r="G23" s="216"/>
      <c r="H23" s="123"/>
    </row>
    <row r="24" spans="1:8" ht="15.75" x14ac:dyDescent="0.25">
      <c r="A24" s="19" t="s">
        <v>15</v>
      </c>
      <c r="B24" s="131">
        <f>DATE(2018,7,1)</f>
        <v>43282</v>
      </c>
      <c r="C24" s="204">
        <v>2618283</v>
      </c>
      <c r="D24" s="204">
        <v>544502.5</v>
      </c>
      <c r="E24" s="204">
        <v>642088</v>
      </c>
      <c r="F24" s="132">
        <f t="shared" ref="F24:F35" si="2">(+D24-E24)/E24</f>
        <v>-0.15198150409289693</v>
      </c>
      <c r="G24" s="215">
        <f t="shared" ref="G24:G35" si="3">D24/C24</f>
        <v>0.2079616680091495</v>
      </c>
      <c r="H24" s="123"/>
    </row>
    <row r="25" spans="1:8" ht="15.75" x14ac:dyDescent="0.25">
      <c r="A25" s="19"/>
      <c r="B25" s="131">
        <f>DATE(2018,8,1)</f>
        <v>43313</v>
      </c>
      <c r="C25" s="204">
        <v>2865412</v>
      </c>
      <c r="D25" s="204">
        <v>656165</v>
      </c>
      <c r="E25" s="204">
        <v>490413</v>
      </c>
      <c r="F25" s="132">
        <f t="shared" si="2"/>
        <v>0.33798451509238131</v>
      </c>
      <c r="G25" s="215">
        <f t="shared" si="3"/>
        <v>0.22899499269215037</v>
      </c>
      <c r="H25" s="123"/>
    </row>
    <row r="26" spans="1:8" ht="15.75" x14ac:dyDescent="0.25">
      <c r="A26" s="19"/>
      <c r="B26" s="131">
        <f>DATE(2018,9,1)</f>
        <v>43344</v>
      </c>
      <c r="C26" s="204">
        <v>2858660</v>
      </c>
      <c r="D26" s="204">
        <v>251895.5</v>
      </c>
      <c r="E26" s="204">
        <v>534707</v>
      </c>
      <c r="F26" s="132">
        <f t="shared" si="2"/>
        <v>-0.52890929050863367</v>
      </c>
      <c r="G26" s="215">
        <f t="shared" si="3"/>
        <v>8.8116635066779539E-2</v>
      </c>
      <c r="H26" s="123"/>
    </row>
    <row r="27" spans="1:8" ht="15.75" x14ac:dyDescent="0.25">
      <c r="A27" s="19"/>
      <c r="B27" s="131">
        <f>DATE(2018,10,1)</f>
        <v>43374</v>
      </c>
      <c r="C27" s="204">
        <v>2984353</v>
      </c>
      <c r="D27" s="204">
        <v>763257.5</v>
      </c>
      <c r="E27" s="204">
        <v>515461.5</v>
      </c>
      <c r="F27" s="132">
        <f t="shared" si="2"/>
        <v>0.48072649460725969</v>
      </c>
      <c r="G27" s="215">
        <f t="shared" si="3"/>
        <v>0.25575308953062859</v>
      </c>
      <c r="H27" s="123"/>
    </row>
    <row r="28" spans="1:8" ht="15.75" x14ac:dyDescent="0.25">
      <c r="A28" s="19"/>
      <c r="B28" s="131">
        <f>DATE(2018,11,1)</f>
        <v>43405</v>
      </c>
      <c r="C28" s="204">
        <v>2329326</v>
      </c>
      <c r="D28" s="204">
        <v>497141.5</v>
      </c>
      <c r="E28" s="204">
        <v>483129.5</v>
      </c>
      <c r="F28" s="132">
        <f t="shared" si="2"/>
        <v>2.9002575913911279E-2</v>
      </c>
      <c r="G28" s="215">
        <f t="shared" si="3"/>
        <v>0.21342718880912331</v>
      </c>
      <c r="H28" s="123"/>
    </row>
    <row r="29" spans="1:8" ht="15.75" x14ac:dyDescent="0.25">
      <c r="A29" s="19"/>
      <c r="B29" s="131">
        <f>DATE(2018,12,1)</f>
        <v>43435</v>
      </c>
      <c r="C29" s="204">
        <v>2494748</v>
      </c>
      <c r="D29" s="204">
        <v>725952.5</v>
      </c>
      <c r="E29" s="204">
        <v>648728</v>
      </c>
      <c r="F29" s="132">
        <f t="shared" si="2"/>
        <v>0.11903987495529714</v>
      </c>
      <c r="G29" s="215">
        <f t="shared" si="3"/>
        <v>0.2909923166588369</v>
      </c>
      <c r="H29" s="123"/>
    </row>
    <row r="30" spans="1:8" ht="15.75" x14ac:dyDescent="0.25">
      <c r="A30" s="19"/>
      <c r="B30" s="131">
        <f>DATE(2019,1,1)</f>
        <v>43466</v>
      </c>
      <c r="C30" s="204">
        <v>2141791</v>
      </c>
      <c r="D30" s="204">
        <v>538538</v>
      </c>
      <c r="E30" s="204">
        <v>641885</v>
      </c>
      <c r="F30" s="132">
        <f t="shared" si="2"/>
        <v>-0.16100547605879559</v>
      </c>
      <c r="G30" s="215">
        <f t="shared" si="3"/>
        <v>0.25144283452493732</v>
      </c>
      <c r="H30" s="123"/>
    </row>
    <row r="31" spans="1:8" ht="15.75" x14ac:dyDescent="0.25">
      <c r="A31" s="19"/>
      <c r="B31" s="131">
        <f>DATE(2019,2,1)</f>
        <v>43497</v>
      </c>
      <c r="C31" s="204">
        <v>2348089</v>
      </c>
      <c r="D31" s="204">
        <v>807451</v>
      </c>
      <c r="E31" s="204">
        <v>529004</v>
      </c>
      <c r="F31" s="132">
        <f t="shared" si="2"/>
        <v>0.52636085927516618</v>
      </c>
      <c r="G31" s="215">
        <f t="shared" si="3"/>
        <v>0.34387580709249094</v>
      </c>
      <c r="H31" s="123"/>
    </row>
    <row r="32" spans="1:8" ht="15.75" x14ac:dyDescent="0.25">
      <c r="A32" s="19"/>
      <c r="B32" s="131">
        <f>DATE(2019,3,1)</f>
        <v>43525</v>
      </c>
      <c r="C32" s="204">
        <v>2916612</v>
      </c>
      <c r="D32" s="204">
        <v>438422.5</v>
      </c>
      <c r="E32" s="204">
        <v>585525</v>
      </c>
      <c r="F32" s="132">
        <f t="shared" si="2"/>
        <v>-0.25123180052090005</v>
      </c>
      <c r="G32" s="215">
        <f t="shared" si="3"/>
        <v>0.1503191031237614</v>
      </c>
      <c r="H32" s="123"/>
    </row>
    <row r="33" spans="1:8" ht="15.75" x14ac:dyDescent="0.25">
      <c r="A33" s="19"/>
      <c r="B33" s="131">
        <f>DATE(2019,4,1)</f>
        <v>43556</v>
      </c>
      <c r="C33" s="204">
        <v>2419568</v>
      </c>
      <c r="D33" s="204">
        <v>467457.5</v>
      </c>
      <c r="E33" s="204">
        <v>580383.5</v>
      </c>
      <c r="F33" s="132">
        <f t="shared" si="2"/>
        <v>-0.19457134808277629</v>
      </c>
      <c r="G33" s="215">
        <f t="shared" si="3"/>
        <v>0.19319874456927849</v>
      </c>
      <c r="H33" s="123"/>
    </row>
    <row r="34" spans="1:8" ht="15.75" x14ac:dyDescent="0.25">
      <c r="A34" s="19"/>
      <c r="B34" s="131">
        <f>DATE(2019,5,1)</f>
        <v>43586</v>
      </c>
      <c r="C34" s="204">
        <v>2708160</v>
      </c>
      <c r="D34" s="204">
        <v>521857</v>
      </c>
      <c r="E34" s="204">
        <v>612241.5</v>
      </c>
      <c r="F34" s="132">
        <f t="shared" si="2"/>
        <v>-0.14762883600670651</v>
      </c>
      <c r="G34" s="215">
        <f t="shared" si="3"/>
        <v>0.19269799421009098</v>
      </c>
      <c r="H34" s="123"/>
    </row>
    <row r="35" spans="1:8" ht="15.75" x14ac:dyDescent="0.25">
      <c r="A35" s="19"/>
      <c r="B35" s="131">
        <f>DATE(2019,6,1)</f>
        <v>43617</v>
      </c>
      <c r="C35" s="204">
        <v>2728397</v>
      </c>
      <c r="D35" s="204">
        <v>578049.5</v>
      </c>
      <c r="E35" s="204">
        <v>609143</v>
      </c>
      <c r="F35" s="132">
        <f t="shared" si="2"/>
        <v>-5.104466438915E-2</v>
      </c>
      <c r="G35" s="215">
        <f t="shared" si="3"/>
        <v>0.21186414587026742</v>
      </c>
      <c r="H35" s="123"/>
    </row>
    <row r="36" spans="1:8" ht="15.75" thickBot="1" x14ac:dyDescent="0.25">
      <c r="A36" s="133"/>
      <c r="B36" s="131"/>
      <c r="C36" s="204"/>
      <c r="D36" s="204"/>
      <c r="E36" s="204"/>
      <c r="F36" s="132"/>
      <c r="G36" s="215"/>
      <c r="H36" s="123"/>
    </row>
    <row r="37" spans="1:8" ht="17.25" thickTop="1" thickBot="1" x14ac:dyDescent="0.3">
      <c r="A37" s="135" t="s">
        <v>14</v>
      </c>
      <c r="B37" s="136"/>
      <c r="C37" s="201">
        <f>SUM(C24:C36)</f>
        <v>31413399</v>
      </c>
      <c r="D37" s="201">
        <f>SUM(D24:D36)</f>
        <v>6790690</v>
      </c>
      <c r="E37" s="201">
        <f>SUM(E24:E36)</f>
        <v>6872709</v>
      </c>
      <c r="F37" s="137">
        <f>(+D37-E37)/E37</f>
        <v>-1.193401321080232E-2</v>
      </c>
      <c r="G37" s="212">
        <f>D37/C37</f>
        <v>0.21617176797709792</v>
      </c>
      <c r="H37" s="123"/>
    </row>
    <row r="38" spans="1:8" ht="15.75" customHeight="1" thickTop="1" x14ac:dyDescent="0.25">
      <c r="A38" s="255"/>
      <c r="B38" s="139"/>
      <c r="C38" s="205"/>
      <c r="D38" s="205"/>
      <c r="E38" s="205"/>
      <c r="F38" s="140"/>
      <c r="G38" s="219"/>
      <c r="H38" s="123"/>
    </row>
    <row r="39" spans="1:8" ht="15.75" x14ac:dyDescent="0.25">
      <c r="A39" s="19" t="s">
        <v>56</v>
      </c>
      <c r="B39" s="131">
        <f>DATE(2018,7,1)</f>
        <v>43282</v>
      </c>
      <c r="C39" s="204">
        <v>1379575</v>
      </c>
      <c r="D39" s="204">
        <v>373264</v>
      </c>
      <c r="E39" s="204">
        <v>330815.5</v>
      </c>
      <c r="F39" s="132">
        <f t="shared" ref="F39:F50" si="4">(+D39-E39)/E39</f>
        <v>0.12831472527738272</v>
      </c>
      <c r="G39" s="215">
        <f t="shared" ref="G39:G50" si="5">D39/C39</f>
        <v>0.27056448543935635</v>
      </c>
      <c r="H39" s="123"/>
    </row>
    <row r="40" spans="1:8" ht="15.75" x14ac:dyDescent="0.25">
      <c r="A40" s="19"/>
      <c r="B40" s="131">
        <f>DATE(2018,8,1)</f>
        <v>43313</v>
      </c>
      <c r="C40" s="204">
        <v>1464999</v>
      </c>
      <c r="D40" s="204">
        <v>339140.5</v>
      </c>
      <c r="E40" s="204">
        <v>326287.5</v>
      </c>
      <c r="F40" s="132">
        <f t="shared" si="4"/>
        <v>3.9391640807570009E-2</v>
      </c>
      <c r="G40" s="215">
        <f t="shared" si="5"/>
        <v>0.23149537986032756</v>
      </c>
      <c r="H40" s="123"/>
    </row>
    <row r="41" spans="1:8" ht="15.75" x14ac:dyDescent="0.25">
      <c r="A41" s="19"/>
      <c r="B41" s="131">
        <f>DATE(2018,9,1)</f>
        <v>43344</v>
      </c>
      <c r="C41" s="204">
        <v>1388620</v>
      </c>
      <c r="D41" s="204">
        <v>349109</v>
      </c>
      <c r="E41" s="204">
        <v>453438</v>
      </c>
      <c r="F41" s="132">
        <f t="shared" si="4"/>
        <v>-0.23008437757752989</v>
      </c>
      <c r="G41" s="215">
        <f t="shared" si="5"/>
        <v>0.2514071524247094</v>
      </c>
      <c r="H41" s="123"/>
    </row>
    <row r="42" spans="1:8" ht="15.75" x14ac:dyDescent="0.25">
      <c r="A42" s="19"/>
      <c r="B42" s="131">
        <f>DATE(2018,10,1)</f>
        <v>43374</v>
      </c>
      <c r="C42" s="204">
        <v>1282080</v>
      </c>
      <c r="D42" s="204">
        <v>213321.5</v>
      </c>
      <c r="E42" s="204">
        <v>325504</v>
      </c>
      <c r="F42" s="132">
        <f t="shared" si="4"/>
        <v>-0.34464246215100275</v>
      </c>
      <c r="G42" s="215">
        <f t="shared" si="5"/>
        <v>0.16638704293023837</v>
      </c>
      <c r="H42" s="123"/>
    </row>
    <row r="43" spans="1:8" ht="15.75" x14ac:dyDescent="0.25">
      <c r="A43" s="19"/>
      <c r="B43" s="131">
        <f>DATE(2018,11,1)</f>
        <v>43405</v>
      </c>
      <c r="C43" s="204">
        <v>1337192</v>
      </c>
      <c r="D43" s="204">
        <v>301353.5</v>
      </c>
      <c r="E43" s="204">
        <v>300283</v>
      </c>
      <c r="F43" s="132">
        <f t="shared" si="4"/>
        <v>3.5649703779434732E-3</v>
      </c>
      <c r="G43" s="215">
        <f t="shared" si="5"/>
        <v>0.22536292469592997</v>
      </c>
      <c r="H43" s="123"/>
    </row>
    <row r="44" spans="1:8" ht="15.75" x14ac:dyDescent="0.25">
      <c r="A44" s="19"/>
      <c r="B44" s="131">
        <f>DATE(2018,12,1)</f>
        <v>43435</v>
      </c>
      <c r="C44" s="204">
        <v>1480704</v>
      </c>
      <c r="D44" s="204">
        <v>461887</v>
      </c>
      <c r="E44" s="204">
        <v>366330</v>
      </c>
      <c r="F44" s="132">
        <f t="shared" si="4"/>
        <v>0.26084950727486145</v>
      </c>
      <c r="G44" s="215">
        <f t="shared" si="5"/>
        <v>0.31193742976313971</v>
      </c>
      <c r="H44" s="123"/>
    </row>
    <row r="45" spans="1:8" ht="15.75" x14ac:dyDescent="0.25">
      <c r="A45" s="19"/>
      <c r="B45" s="131">
        <f>DATE(2019,1,1)</f>
        <v>43466</v>
      </c>
      <c r="C45" s="204">
        <v>1207249</v>
      </c>
      <c r="D45" s="204">
        <v>327327.5</v>
      </c>
      <c r="E45" s="204">
        <v>337127.5</v>
      </c>
      <c r="F45" s="132">
        <f t="shared" si="4"/>
        <v>-2.9069120733253739E-2</v>
      </c>
      <c r="G45" s="215">
        <f t="shared" si="5"/>
        <v>0.27113503510874726</v>
      </c>
      <c r="H45" s="123"/>
    </row>
    <row r="46" spans="1:8" ht="15.75" x14ac:dyDescent="0.25">
      <c r="A46" s="19"/>
      <c r="B46" s="131">
        <f>DATE(2019,2,1)</f>
        <v>43497</v>
      </c>
      <c r="C46" s="204">
        <v>1297488</v>
      </c>
      <c r="D46" s="204">
        <v>275261</v>
      </c>
      <c r="E46" s="204">
        <v>389142.5</v>
      </c>
      <c r="F46" s="132">
        <f t="shared" si="4"/>
        <v>-0.2926472950140373</v>
      </c>
      <c r="G46" s="215">
        <f t="shared" si="5"/>
        <v>0.21214916823893554</v>
      </c>
      <c r="H46" s="123"/>
    </row>
    <row r="47" spans="1:8" ht="15.75" x14ac:dyDescent="0.25">
      <c r="A47" s="19"/>
      <c r="B47" s="131">
        <f>DATE(2019,3,1)</f>
        <v>43525</v>
      </c>
      <c r="C47" s="204">
        <v>1659028</v>
      </c>
      <c r="D47" s="204">
        <v>433986.5</v>
      </c>
      <c r="E47" s="204">
        <v>428782</v>
      </c>
      <c r="F47" s="132">
        <f t="shared" si="4"/>
        <v>1.2137869593406439E-2</v>
      </c>
      <c r="G47" s="215">
        <f t="shared" si="5"/>
        <v>0.26159082306024972</v>
      </c>
      <c r="H47" s="123"/>
    </row>
    <row r="48" spans="1:8" ht="15.75" x14ac:dyDescent="0.25">
      <c r="A48" s="19"/>
      <c r="B48" s="131">
        <f>DATE(2019,4,1)</f>
        <v>43556</v>
      </c>
      <c r="C48" s="204">
        <v>1272718</v>
      </c>
      <c r="D48" s="204">
        <v>278270</v>
      </c>
      <c r="E48" s="204">
        <v>388710.5</v>
      </c>
      <c r="F48" s="132">
        <f t="shared" si="4"/>
        <v>-0.28412018713155418</v>
      </c>
      <c r="G48" s="215">
        <f t="shared" si="5"/>
        <v>0.21864230725109568</v>
      </c>
      <c r="H48" s="123"/>
    </row>
    <row r="49" spans="1:8" ht="15.75" x14ac:dyDescent="0.25">
      <c r="A49" s="19"/>
      <c r="B49" s="131">
        <f>DATE(2019,5,1)</f>
        <v>43586</v>
      </c>
      <c r="C49" s="204">
        <v>1388556</v>
      </c>
      <c r="D49" s="204">
        <v>332825.5</v>
      </c>
      <c r="E49" s="204">
        <v>417913</v>
      </c>
      <c r="F49" s="132">
        <f t="shared" si="4"/>
        <v>-0.20360098872253315</v>
      </c>
      <c r="G49" s="215">
        <f t="shared" si="5"/>
        <v>0.23969180933286091</v>
      </c>
      <c r="H49" s="123"/>
    </row>
    <row r="50" spans="1:8" ht="15.75" x14ac:dyDescent="0.25">
      <c r="A50" s="19"/>
      <c r="B50" s="131">
        <f>DATE(2019,6,1)</f>
        <v>43617</v>
      </c>
      <c r="C50" s="204">
        <v>1211614</v>
      </c>
      <c r="D50" s="204">
        <v>327045</v>
      </c>
      <c r="E50" s="204">
        <v>319395.5</v>
      </c>
      <c r="F50" s="132">
        <f t="shared" si="4"/>
        <v>2.394993041542539E-2</v>
      </c>
      <c r="G50" s="215">
        <f t="shared" si="5"/>
        <v>0.26992507514769554</v>
      </c>
      <c r="H50" s="123"/>
    </row>
    <row r="51" spans="1:8" ht="15.75" thickBot="1" x14ac:dyDescent="0.25">
      <c r="A51" s="133"/>
      <c r="B51" s="131"/>
      <c r="C51" s="204"/>
      <c r="D51" s="204"/>
      <c r="E51" s="204"/>
      <c r="F51" s="132"/>
      <c r="G51" s="215"/>
      <c r="H51" s="123"/>
    </row>
    <row r="52" spans="1:8" ht="17.25" thickTop="1" thickBot="1" x14ac:dyDescent="0.3">
      <c r="A52" s="141" t="s">
        <v>14</v>
      </c>
      <c r="B52" s="142"/>
      <c r="C52" s="206">
        <f>SUM(C39:C51)</f>
        <v>16369823</v>
      </c>
      <c r="D52" s="206">
        <f>SUM(D39:D51)</f>
        <v>4012791</v>
      </c>
      <c r="E52" s="206">
        <f>SUM(E39:E51)</f>
        <v>4383729</v>
      </c>
      <c r="F52" s="143">
        <f>(+D52-E52)/E52</f>
        <v>-8.4617000731568942E-2</v>
      </c>
      <c r="G52" s="217">
        <f>D52/C52</f>
        <v>0.24513343852282338</v>
      </c>
      <c r="H52" s="123"/>
    </row>
    <row r="53" spans="1:8" ht="15.75" thickTop="1" x14ac:dyDescent="0.2">
      <c r="A53" s="133"/>
      <c r="B53" s="134"/>
      <c r="C53" s="204"/>
      <c r="D53" s="204"/>
      <c r="E53" s="204"/>
      <c r="F53" s="132"/>
      <c r="G53" s="218"/>
      <c r="H53" s="123"/>
    </row>
    <row r="54" spans="1:8" ht="15.75" x14ac:dyDescent="0.25">
      <c r="A54" s="177" t="s">
        <v>65</v>
      </c>
      <c r="B54" s="131">
        <f>DATE(2018,7,1)</f>
        <v>43282</v>
      </c>
      <c r="C54" s="204">
        <v>14770922.01</v>
      </c>
      <c r="D54" s="204">
        <v>2640847.2400000002</v>
      </c>
      <c r="E54" s="204">
        <v>3444933.46</v>
      </c>
      <c r="F54" s="132">
        <f t="shared" ref="F54:F65" si="6">(+D54-E54)/E54</f>
        <v>-0.23341124852960143</v>
      </c>
      <c r="G54" s="215">
        <f t="shared" ref="G54:G65" si="7">D54/C54</f>
        <v>0.17878689212576787</v>
      </c>
      <c r="H54" s="123"/>
    </row>
    <row r="55" spans="1:8" ht="15.75" x14ac:dyDescent="0.25">
      <c r="A55" s="177"/>
      <c r="B55" s="131">
        <f>DATE(2018,8,1)</f>
        <v>43313</v>
      </c>
      <c r="C55" s="204">
        <v>14974767</v>
      </c>
      <c r="D55" s="204">
        <v>3019576.86</v>
      </c>
      <c r="E55" s="204">
        <v>2738890.99</v>
      </c>
      <c r="F55" s="132">
        <f t="shared" si="6"/>
        <v>0.10248157777173877</v>
      </c>
      <c r="G55" s="215">
        <f t="shared" si="7"/>
        <v>0.20164433009208088</v>
      </c>
      <c r="H55" s="123"/>
    </row>
    <row r="56" spans="1:8" ht="15.75" x14ac:dyDescent="0.25">
      <c r="A56" s="177"/>
      <c r="B56" s="131">
        <f>DATE(2018,9,1)</f>
        <v>43344</v>
      </c>
      <c r="C56" s="204">
        <v>13265110.25</v>
      </c>
      <c r="D56" s="204">
        <v>3074145.25</v>
      </c>
      <c r="E56" s="204">
        <v>3077099.69</v>
      </c>
      <c r="F56" s="132">
        <f t="shared" si="6"/>
        <v>-9.601378888052679E-4</v>
      </c>
      <c r="G56" s="215">
        <f t="shared" si="7"/>
        <v>0.23174667922567774</v>
      </c>
      <c r="H56" s="123"/>
    </row>
    <row r="57" spans="1:8" ht="15.75" x14ac:dyDescent="0.25">
      <c r="A57" s="177"/>
      <c r="B57" s="131">
        <f>DATE(2018,10,1)</f>
        <v>43374</v>
      </c>
      <c r="C57" s="204">
        <v>12792793</v>
      </c>
      <c r="D57" s="204">
        <v>2577292.69</v>
      </c>
      <c r="E57" s="204">
        <v>2596719.9300000002</v>
      </c>
      <c r="F57" s="132">
        <f t="shared" si="6"/>
        <v>-7.4814537276648935E-3</v>
      </c>
      <c r="G57" s="215">
        <f t="shared" si="7"/>
        <v>0.20146442532135087</v>
      </c>
      <c r="H57" s="123"/>
    </row>
    <row r="58" spans="1:8" ht="15.75" x14ac:dyDescent="0.25">
      <c r="A58" s="177"/>
      <c r="B58" s="131">
        <f>DATE(2018,11,1)</f>
        <v>43405</v>
      </c>
      <c r="C58" s="204">
        <v>12986186</v>
      </c>
      <c r="D58" s="204">
        <v>2885158.69</v>
      </c>
      <c r="E58" s="204">
        <v>2954256.04</v>
      </c>
      <c r="F58" s="132">
        <f t="shared" si="6"/>
        <v>-2.3389086478773888E-2</v>
      </c>
      <c r="G58" s="215">
        <f t="shared" si="7"/>
        <v>0.22217136655827968</v>
      </c>
      <c r="H58" s="123"/>
    </row>
    <row r="59" spans="1:8" ht="15.75" x14ac:dyDescent="0.25">
      <c r="A59" s="177"/>
      <c r="B59" s="131">
        <f>DATE(2018,12,1)</f>
        <v>43435</v>
      </c>
      <c r="C59" s="204">
        <v>14981777</v>
      </c>
      <c r="D59" s="204">
        <v>2894970.85</v>
      </c>
      <c r="E59" s="204">
        <v>3254600.78</v>
      </c>
      <c r="F59" s="132">
        <f t="shared" si="6"/>
        <v>-0.11049893806023108</v>
      </c>
      <c r="G59" s="215">
        <f t="shared" si="7"/>
        <v>0.19323280876494159</v>
      </c>
      <c r="H59" s="123"/>
    </row>
    <row r="60" spans="1:8" ht="15.75" x14ac:dyDescent="0.25">
      <c r="A60" s="177"/>
      <c r="B60" s="131">
        <f>DATE(2019,1,1)</f>
        <v>43466</v>
      </c>
      <c r="C60" s="204">
        <v>13538543</v>
      </c>
      <c r="D60" s="204">
        <v>2972641.43</v>
      </c>
      <c r="E60" s="204">
        <v>3015386.15</v>
      </c>
      <c r="F60" s="132">
        <f t="shared" si="6"/>
        <v>-1.4175537683622955E-2</v>
      </c>
      <c r="G60" s="215">
        <f t="shared" si="7"/>
        <v>0.21956878446964345</v>
      </c>
      <c r="H60" s="123"/>
    </row>
    <row r="61" spans="1:8" ht="15.75" x14ac:dyDescent="0.25">
      <c r="A61" s="177"/>
      <c r="B61" s="131">
        <f>DATE(2019,2,1)</f>
        <v>43497</v>
      </c>
      <c r="C61" s="204">
        <v>13878631.470000001</v>
      </c>
      <c r="D61" s="204">
        <v>3194583.97</v>
      </c>
      <c r="E61" s="204">
        <v>2470968.89</v>
      </c>
      <c r="F61" s="132">
        <f t="shared" si="6"/>
        <v>0.29284669787971312</v>
      </c>
      <c r="G61" s="215">
        <f t="shared" si="7"/>
        <v>0.23018004166371889</v>
      </c>
      <c r="H61" s="123"/>
    </row>
    <row r="62" spans="1:8" ht="15.75" x14ac:dyDescent="0.25">
      <c r="A62" s="177"/>
      <c r="B62" s="131">
        <f>DATE(2019,3,1)</f>
        <v>43525</v>
      </c>
      <c r="C62" s="204">
        <v>18602014</v>
      </c>
      <c r="D62" s="204">
        <v>4211392</v>
      </c>
      <c r="E62" s="204">
        <v>3071035.69</v>
      </c>
      <c r="F62" s="132">
        <f t="shared" si="6"/>
        <v>0.3713262967647244</v>
      </c>
      <c r="G62" s="215">
        <f t="shared" si="7"/>
        <v>0.2263944108417508</v>
      </c>
      <c r="H62" s="123"/>
    </row>
    <row r="63" spans="1:8" ht="15.75" x14ac:dyDescent="0.25">
      <c r="A63" s="177"/>
      <c r="B63" s="131">
        <f>DATE(2019,4,1)</f>
        <v>43556</v>
      </c>
      <c r="C63" s="204">
        <v>13612929</v>
      </c>
      <c r="D63" s="204">
        <v>2963987.59</v>
      </c>
      <c r="E63" s="204">
        <v>3305837.5</v>
      </c>
      <c r="F63" s="132">
        <f t="shared" si="6"/>
        <v>-0.10340795940514322</v>
      </c>
      <c r="G63" s="215">
        <f t="shared" si="7"/>
        <v>0.21773327327278352</v>
      </c>
      <c r="H63" s="123"/>
    </row>
    <row r="64" spans="1:8" ht="15.75" x14ac:dyDescent="0.25">
      <c r="A64" s="177"/>
      <c r="B64" s="131">
        <f>DATE(2019,5,1)</f>
        <v>43586</v>
      </c>
      <c r="C64" s="204">
        <v>15049065.01</v>
      </c>
      <c r="D64" s="204">
        <v>2612189.0699999998</v>
      </c>
      <c r="E64" s="204">
        <v>2696146.85</v>
      </c>
      <c r="F64" s="132">
        <f t="shared" si="6"/>
        <v>-3.1139913614126862E-2</v>
      </c>
      <c r="G64" s="215">
        <f t="shared" si="7"/>
        <v>0.17357816371078325</v>
      </c>
      <c r="H64" s="123"/>
    </row>
    <row r="65" spans="1:8" ht="15.75" x14ac:dyDescent="0.25">
      <c r="A65" s="177"/>
      <c r="B65" s="131">
        <f>DATE(2019,6,1)</f>
        <v>43617</v>
      </c>
      <c r="C65" s="204">
        <v>15271895</v>
      </c>
      <c r="D65" s="204">
        <v>3072272.43</v>
      </c>
      <c r="E65" s="204">
        <v>2564163.6</v>
      </c>
      <c r="F65" s="132">
        <f t="shared" si="6"/>
        <v>0.19815772675347237</v>
      </c>
      <c r="G65" s="215">
        <f t="shared" si="7"/>
        <v>0.20117165747931087</v>
      </c>
      <c r="H65" s="123"/>
    </row>
    <row r="66" spans="1:8" ht="15.75" customHeight="1" thickBot="1" x14ac:dyDescent="0.25">
      <c r="A66" s="133"/>
      <c r="B66" s="134"/>
      <c r="C66" s="204"/>
      <c r="D66" s="204"/>
      <c r="E66" s="204"/>
      <c r="F66" s="132"/>
      <c r="G66" s="215"/>
      <c r="H66" s="123"/>
    </row>
    <row r="67" spans="1:8" ht="17.25" customHeight="1" thickTop="1" thickBot="1" x14ac:dyDescent="0.3">
      <c r="A67" s="141" t="s">
        <v>14</v>
      </c>
      <c r="B67" s="142"/>
      <c r="C67" s="206">
        <f>SUM(C54:C66)</f>
        <v>173724632.73999998</v>
      </c>
      <c r="D67" s="206">
        <f>SUM(D54:D66)</f>
        <v>36119058.07</v>
      </c>
      <c r="E67" s="206">
        <f>SUM(E54:E66)</f>
        <v>35190039.57</v>
      </c>
      <c r="F67" s="143">
        <f>(+D67-E67)/E67</f>
        <v>2.6400041356929908E-2</v>
      </c>
      <c r="G67" s="217">
        <f>D67/C67</f>
        <v>0.20790982545380632</v>
      </c>
      <c r="H67" s="123"/>
    </row>
    <row r="68" spans="1:8" ht="15.75" customHeight="1" thickTop="1" x14ac:dyDescent="0.2">
      <c r="A68" s="133"/>
      <c r="B68" s="134"/>
      <c r="C68" s="204"/>
      <c r="D68" s="204"/>
      <c r="E68" s="204"/>
      <c r="F68" s="132"/>
      <c r="G68" s="218"/>
      <c r="H68" s="123"/>
    </row>
    <row r="69" spans="1:8" ht="15" customHeight="1" x14ac:dyDescent="0.25">
      <c r="A69" s="130" t="s">
        <v>39</v>
      </c>
      <c r="B69" s="131">
        <f>DATE(2018,7,1)</f>
        <v>43282</v>
      </c>
      <c r="C69" s="204">
        <v>16232884.5</v>
      </c>
      <c r="D69" s="204">
        <v>3513953.5</v>
      </c>
      <c r="E69" s="204">
        <v>4591352</v>
      </c>
      <c r="F69" s="132">
        <f t="shared" ref="F69:F80" si="8">(+D69-E69)/E69</f>
        <v>-0.23465822267602224</v>
      </c>
      <c r="G69" s="215">
        <f t="shared" ref="G69:G80" si="9">D69/C69</f>
        <v>0.21647129319499564</v>
      </c>
      <c r="H69" s="123"/>
    </row>
    <row r="70" spans="1:8" ht="15" customHeight="1" x14ac:dyDescent="0.25">
      <c r="A70" s="130"/>
      <c r="B70" s="131">
        <f>DATE(2018,8,1)</f>
        <v>43313</v>
      </c>
      <c r="C70" s="204">
        <v>16145647</v>
      </c>
      <c r="D70" s="204">
        <v>3570821.5</v>
      </c>
      <c r="E70" s="204">
        <v>3842200.5</v>
      </c>
      <c r="F70" s="132">
        <f t="shared" si="8"/>
        <v>-7.0631139629490969E-2</v>
      </c>
      <c r="G70" s="215">
        <f t="shared" si="9"/>
        <v>0.22116310978432763</v>
      </c>
      <c r="H70" s="123"/>
    </row>
    <row r="71" spans="1:8" ht="15" customHeight="1" x14ac:dyDescent="0.25">
      <c r="A71" s="130"/>
      <c r="B71" s="131">
        <f>DATE(2018,9,1)</f>
        <v>43344</v>
      </c>
      <c r="C71" s="204">
        <v>16222388</v>
      </c>
      <c r="D71" s="204">
        <v>3367544</v>
      </c>
      <c r="E71" s="204">
        <v>3686124</v>
      </c>
      <c r="F71" s="132">
        <f t="shared" si="8"/>
        <v>-8.6426826661284317E-2</v>
      </c>
      <c r="G71" s="215">
        <f t="shared" si="9"/>
        <v>0.20758620740670239</v>
      </c>
      <c r="H71" s="123"/>
    </row>
    <row r="72" spans="1:8" ht="15" customHeight="1" x14ac:dyDescent="0.25">
      <c r="A72" s="130"/>
      <c r="B72" s="131">
        <f>DATE(2018,10,1)</f>
        <v>43374</v>
      </c>
      <c r="C72" s="204">
        <v>17396784</v>
      </c>
      <c r="D72" s="204">
        <v>3631888</v>
      </c>
      <c r="E72" s="204">
        <v>2992121.5</v>
      </c>
      <c r="F72" s="132">
        <f t="shared" si="8"/>
        <v>0.21381701912840104</v>
      </c>
      <c r="G72" s="215">
        <f t="shared" si="9"/>
        <v>0.20876778144742156</v>
      </c>
      <c r="H72" s="123"/>
    </row>
    <row r="73" spans="1:8" ht="15" customHeight="1" x14ac:dyDescent="0.25">
      <c r="A73" s="130"/>
      <c r="B73" s="131">
        <f>DATE(2018,11,1)</f>
        <v>43405</v>
      </c>
      <c r="C73" s="204">
        <v>15185055</v>
      </c>
      <c r="D73" s="204">
        <v>3478954.5</v>
      </c>
      <c r="E73" s="204">
        <v>3675952</v>
      </c>
      <c r="F73" s="132">
        <f t="shared" si="8"/>
        <v>-5.359087931507267E-2</v>
      </c>
      <c r="G73" s="215">
        <f t="shared" si="9"/>
        <v>0.22910384585370286</v>
      </c>
      <c r="H73" s="123"/>
    </row>
    <row r="74" spans="1:8" ht="15" customHeight="1" x14ac:dyDescent="0.25">
      <c r="A74" s="130"/>
      <c r="B74" s="131">
        <f>DATE(2018,12,1)</f>
        <v>43435</v>
      </c>
      <c r="C74" s="204">
        <v>16988835</v>
      </c>
      <c r="D74" s="204">
        <v>3863144</v>
      </c>
      <c r="E74" s="204">
        <v>3464937</v>
      </c>
      <c r="F74" s="132">
        <f t="shared" si="8"/>
        <v>0.11492474466346718</v>
      </c>
      <c r="G74" s="215">
        <f t="shared" si="9"/>
        <v>0.22739310847388888</v>
      </c>
      <c r="H74" s="123"/>
    </row>
    <row r="75" spans="1:8" ht="15" customHeight="1" x14ac:dyDescent="0.25">
      <c r="A75" s="130"/>
      <c r="B75" s="131">
        <f>DATE(2019,1,1)</f>
        <v>43466</v>
      </c>
      <c r="C75" s="204">
        <v>14501861</v>
      </c>
      <c r="D75" s="204">
        <v>2474875.5</v>
      </c>
      <c r="E75" s="204">
        <v>2863319</v>
      </c>
      <c r="F75" s="132">
        <f t="shared" si="8"/>
        <v>-0.13566197129973992</v>
      </c>
      <c r="G75" s="215">
        <f t="shared" si="9"/>
        <v>0.17065916574431378</v>
      </c>
      <c r="H75" s="123"/>
    </row>
    <row r="76" spans="1:8" ht="15" customHeight="1" x14ac:dyDescent="0.25">
      <c r="A76" s="130"/>
      <c r="B76" s="131">
        <f>DATE(2019,2,1)</f>
        <v>43497</v>
      </c>
      <c r="C76" s="204">
        <v>15264920</v>
      </c>
      <c r="D76" s="204">
        <v>2417434</v>
      </c>
      <c r="E76" s="204">
        <v>2919393.5</v>
      </c>
      <c r="F76" s="132">
        <f t="shared" si="8"/>
        <v>-0.17193965116384619</v>
      </c>
      <c r="G76" s="215">
        <f t="shared" si="9"/>
        <v>0.15836532389295194</v>
      </c>
      <c r="H76" s="123"/>
    </row>
    <row r="77" spans="1:8" ht="15" customHeight="1" x14ac:dyDescent="0.25">
      <c r="A77" s="130"/>
      <c r="B77" s="131">
        <f>DATE(2019,3,1)</f>
        <v>43525</v>
      </c>
      <c r="C77" s="204">
        <v>18316032.050000001</v>
      </c>
      <c r="D77" s="204">
        <v>5092130.55</v>
      </c>
      <c r="E77" s="204">
        <v>3678003</v>
      </c>
      <c r="F77" s="132">
        <f t="shared" si="8"/>
        <v>0.38448243516930242</v>
      </c>
      <c r="G77" s="215">
        <f t="shared" si="9"/>
        <v>0.27801493992253629</v>
      </c>
      <c r="H77" s="123"/>
    </row>
    <row r="78" spans="1:8" ht="15" customHeight="1" x14ac:dyDescent="0.25">
      <c r="A78" s="130"/>
      <c r="B78" s="131">
        <f>DATE(2019,4,1)</f>
        <v>43556</v>
      </c>
      <c r="C78" s="204">
        <v>16817452</v>
      </c>
      <c r="D78" s="204">
        <v>3208453</v>
      </c>
      <c r="E78" s="204">
        <v>2764338</v>
      </c>
      <c r="F78" s="132">
        <f t="shared" si="8"/>
        <v>0.16065871828987627</v>
      </c>
      <c r="G78" s="215">
        <f t="shared" si="9"/>
        <v>0.19078115995217348</v>
      </c>
      <c r="H78" s="123"/>
    </row>
    <row r="79" spans="1:8" ht="15" customHeight="1" x14ac:dyDescent="0.25">
      <c r="A79" s="130"/>
      <c r="B79" s="131">
        <f>DATE(2019,5,1)</f>
        <v>43586</v>
      </c>
      <c r="C79" s="204">
        <v>17070836</v>
      </c>
      <c r="D79" s="204">
        <v>4986800.5</v>
      </c>
      <c r="E79" s="204">
        <v>2888640</v>
      </c>
      <c r="F79" s="132">
        <f t="shared" si="8"/>
        <v>0.72634890467486435</v>
      </c>
      <c r="G79" s="215">
        <f t="shared" si="9"/>
        <v>0.29212397682222474</v>
      </c>
      <c r="H79" s="123"/>
    </row>
    <row r="80" spans="1:8" ht="15" customHeight="1" x14ac:dyDescent="0.25">
      <c r="A80" s="130"/>
      <c r="B80" s="131">
        <f>DATE(2019,6,1)</f>
        <v>43617</v>
      </c>
      <c r="C80" s="204">
        <v>14810677</v>
      </c>
      <c r="D80" s="204">
        <v>2961222</v>
      </c>
      <c r="E80" s="204">
        <v>3588687</v>
      </c>
      <c r="F80" s="132">
        <f t="shared" si="8"/>
        <v>-0.17484528464031551</v>
      </c>
      <c r="G80" s="215">
        <f t="shared" si="9"/>
        <v>0.19993832827493302</v>
      </c>
      <c r="H80" s="123"/>
    </row>
    <row r="81" spans="1:8" ht="15.75" thickBot="1" x14ac:dyDescent="0.25">
      <c r="A81" s="133"/>
      <c r="B81" s="131"/>
      <c r="C81" s="204"/>
      <c r="D81" s="204"/>
      <c r="E81" s="204"/>
      <c r="F81" s="132"/>
      <c r="G81" s="215"/>
      <c r="H81" s="123"/>
    </row>
    <row r="82" spans="1:8" ht="17.25" customHeight="1" thickTop="1" thickBot="1" x14ac:dyDescent="0.3">
      <c r="A82" s="141" t="s">
        <v>14</v>
      </c>
      <c r="B82" s="142"/>
      <c r="C82" s="207">
        <f>SUM(C69:C81)</f>
        <v>194953371.55000001</v>
      </c>
      <c r="D82" s="261">
        <f>SUM(D69:D81)</f>
        <v>42567221.049999997</v>
      </c>
      <c r="E82" s="206">
        <f>SUM(E69:E81)</f>
        <v>40955067.5</v>
      </c>
      <c r="F82" s="268">
        <f>(+D82-E82)/E82</f>
        <v>3.9363957830126813E-2</v>
      </c>
      <c r="G82" s="267">
        <f>D82/C82</f>
        <v>0.21834565215037952</v>
      </c>
      <c r="H82" s="123"/>
    </row>
    <row r="83" spans="1:8" ht="15.75" customHeight="1" thickTop="1" x14ac:dyDescent="0.25">
      <c r="A83" s="130"/>
      <c r="B83" s="134"/>
      <c r="C83" s="204"/>
      <c r="D83" s="204"/>
      <c r="E83" s="204"/>
      <c r="F83" s="132"/>
      <c r="G83" s="218"/>
      <c r="H83" s="123"/>
    </row>
    <row r="84" spans="1:8" ht="15.75" x14ac:dyDescent="0.25">
      <c r="A84" s="130" t="s">
        <v>66</v>
      </c>
      <c r="B84" s="131">
        <f>DATE(2018,7,1)</f>
        <v>43282</v>
      </c>
      <c r="C84" s="204">
        <v>2606833</v>
      </c>
      <c r="D84" s="204">
        <v>682875.5</v>
      </c>
      <c r="E84" s="204">
        <v>703792.5</v>
      </c>
      <c r="F84" s="132">
        <f t="shared" ref="F84:F95" si="10">(+D84-E84)/E84</f>
        <v>-2.9720407648561188E-2</v>
      </c>
      <c r="G84" s="215">
        <f t="shared" ref="G84:G95" si="11">D84/C84</f>
        <v>0.26195598260417907</v>
      </c>
      <c r="H84" s="123"/>
    </row>
    <row r="85" spans="1:8" ht="15.75" x14ac:dyDescent="0.25">
      <c r="A85" s="130"/>
      <c r="B85" s="131">
        <f>DATE(2018,8,1)</f>
        <v>43313</v>
      </c>
      <c r="C85" s="204">
        <v>2586664</v>
      </c>
      <c r="D85" s="204">
        <v>651283.5</v>
      </c>
      <c r="E85" s="204">
        <v>551376.5</v>
      </c>
      <c r="F85" s="132">
        <f t="shared" si="10"/>
        <v>0.1811956077199518</v>
      </c>
      <c r="G85" s="215">
        <f t="shared" si="11"/>
        <v>0.25178511781970908</v>
      </c>
      <c r="H85" s="123"/>
    </row>
    <row r="86" spans="1:8" ht="15.75" x14ac:dyDescent="0.25">
      <c r="A86" s="130"/>
      <c r="B86" s="131">
        <f>DATE(2018,9,1)</f>
        <v>43344</v>
      </c>
      <c r="C86" s="204">
        <v>2355213</v>
      </c>
      <c r="D86" s="204">
        <v>584999.5</v>
      </c>
      <c r="E86" s="204">
        <v>737458.5</v>
      </c>
      <c r="F86" s="132">
        <f t="shared" si="10"/>
        <v>-0.20673570105978845</v>
      </c>
      <c r="G86" s="215">
        <f t="shared" si="11"/>
        <v>0.2483849656060832</v>
      </c>
      <c r="H86" s="123"/>
    </row>
    <row r="87" spans="1:8" ht="15.75" x14ac:dyDescent="0.25">
      <c r="A87" s="130"/>
      <c r="B87" s="131">
        <f>DATE(2018,10,1)</f>
        <v>43374</v>
      </c>
      <c r="C87" s="204">
        <v>2214253</v>
      </c>
      <c r="D87" s="204">
        <v>681963.5</v>
      </c>
      <c r="E87" s="204">
        <v>599085</v>
      </c>
      <c r="F87" s="132">
        <f t="shared" si="10"/>
        <v>0.13834180458532597</v>
      </c>
      <c r="G87" s="215">
        <f t="shared" si="11"/>
        <v>0.3079880664043359</v>
      </c>
      <c r="H87" s="123"/>
    </row>
    <row r="88" spans="1:8" ht="15.75" x14ac:dyDescent="0.25">
      <c r="A88" s="130"/>
      <c r="B88" s="131">
        <f>DATE(2018,11,1)</f>
        <v>43405</v>
      </c>
      <c r="C88" s="204">
        <v>2440196</v>
      </c>
      <c r="D88" s="204">
        <v>534840</v>
      </c>
      <c r="E88" s="204">
        <v>713063.5</v>
      </c>
      <c r="F88" s="132">
        <f t="shared" si="10"/>
        <v>-0.2499405733149993</v>
      </c>
      <c r="G88" s="215">
        <f t="shared" si="11"/>
        <v>0.21917911512026084</v>
      </c>
      <c r="H88" s="123"/>
    </row>
    <row r="89" spans="1:8" ht="15.75" x14ac:dyDescent="0.25">
      <c r="A89" s="130"/>
      <c r="B89" s="131">
        <f>DATE(2018,12,1)</f>
        <v>43435</v>
      </c>
      <c r="C89" s="204">
        <v>2873950</v>
      </c>
      <c r="D89" s="204">
        <v>680547.57</v>
      </c>
      <c r="E89" s="204">
        <v>726564.5</v>
      </c>
      <c r="F89" s="132">
        <f t="shared" si="10"/>
        <v>-6.3334955120983819E-2</v>
      </c>
      <c r="G89" s="215">
        <f t="shared" si="11"/>
        <v>0.23679868125750272</v>
      </c>
      <c r="H89" s="123"/>
    </row>
    <row r="90" spans="1:8" ht="15.75" x14ac:dyDescent="0.25">
      <c r="A90" s="130"/>
      <c r="B90" s="131">
        <f>DATE(2019,1,1)</f>
        <v>43466</v>
      </c>
      <c r="C90" s="204">
        <v>2395817</v>
      </c>
      <c r="D90" s="204">
        <v>696823.5</v>
      </c>
      <c r="E90" s="204">
        <v>498012.5</v>
      </c>
      <c r="F90" s="132">
        <f t="shared" si="10"/>
        <v>0.39920885519941768</v>
      </c>
      <c r="G90" s="215">
        <f t="shared" si="11"/>
        <v>0.29085005240383549</v>
      </c>
      <c r="H90" s="123"/>
    </row>
    <row r="91" spans="1:8" ht="15.75" x14ac:dyDescent="0.25">
      <c r="A91" s="130"/>
      <c r="B91" s="131">
        <f>DATE(2019,2,1)</f>
        <v>43497</v>
      </c>
      <c r="C91" s="204">
        <v>2579795</v>
      </c>
      <c r="D91" s="204">
        <v>505834.5</v>
      </c>
      <c r="E91" s="204">
        <v>615710.5</v>
      </c>
      <c r="F91" s="132">
        <f t="shared" si="10"/>
        <v>-0.17845399745497276</v>
      </c>
      <c r="G91" s="215">
        <f t="shared" si="11"/>
        <v>0.19607546336046081</v>
      </c>
      <c r="H91" s="123"/>
    </row>
    <row r="92" spans="1:8" ht="15.75" x14ac:dyDescent="0.25">
      <c r="A92" s="130"/>
      <c r="B92" s="131">
        <f>DATE(2019,3,1)</f>
        <v>43525</v>
      </c>
      <c r="C92" s="204">
        <v>2846844</v>
      </c>
      <c r="D92" s="204">
        <v>610444.5</v>
      </c>
      <c r="E92" s="204">
        <v>707304</v>
      </c>
      <c r="F92" s="132">
        <f t="shared" si="10"/>
        <v>-0.13694182416612941</v>
      </c>
      <c r="G92" s="215">
        <f t="shared" si="11"/>
        <v>0.21442850398546601</v>
      </c>
      <c r="H92" s="123"/>
    </row>
    <row r="93" spans="1:8" ht="15.75" x14ac:dyDescent="0.25">
      <c r="A93" s="130"/>
      <c r="B93" s="131">
        <f>DATE(2019,4,1)</f>
        <v>43556</v>
      </c>
      <c r="C93" s="204">
        <v>2622712</v>
      </c>
      <c r="D93" s="204">
        <v>593255</v>
      </c>
      <c r="E93" s="204">
        <v>580306.5</v>
      </c>
      <c r="F93" s="132">
        <f t="shared" si="10"/>
        <v>2.2313208623374027E-2</v>
      </c>
      <c r="G93" s="215">
        <f t="shared" si="11"/>
        <v>0.2261990641747931</v>
      </c>
      <c r="H93" s="123"/>
    </row>
    <row r="94" spans="1:8" ht="15.75" x14ac:dyDescent="0.25">
      <c r="A94" s="130"/>
      <c r="B94" s="131">
        <f>DATE(2019,5,1)</f>
        <v>43586</v>
      </c>
      <c r="C94" s="204">
        <v>2487249</v>
      </c>
      <c r="D94" s="204">
        <v>479927.5</v>
      </c>
      <c r="E94" s="204">
        <v>600638</v>
      </c>
      <c r="F94" s="132">
        <f t="shared" si="10"/>
        <v>-0.20097046806895336</v>
      </c>
      <c r="G94" s="215">
        <f t="shared" si="11"/>
        <v>0.19295514843909878</v>
      </c>
      <c r="H94" s="123"/>
    </row>
    <row r="95" spans="1:8" ht="15.75" x14ac:dyDescent="0.25">
      <c r="A95" s="130"/>
      <c r="B95" s="131">
        <f>DATE(2019,6,1)</f>
        <v>43617</v>
      </c>
      <c r="C95" s="204">
        <v>2263592</v>
      </c>
      <c r="D95" s="204">
        <v>509452.5</v>
      </c>
      <c r="E95" s="204">
        <v>621169</v>
      </c>
      <c r="F95" s="132">
        <f t="shared" si="10"/>
        <v>-0.17984880121190852</v>
      </c>
      <c r="G95" s="215">
        <f t="shared" si="11"/>
        <v>0.22506374823731484</v>
      </c>
      <c r="H95" s="123"/>
    </row>
    <row r="96" spans="1:8" ht="15.75" customHeight="1" thickBot="1" x14ac:dyDescent="0.3">
      <c r="A96" s="130"/>
      <c r="B96" s="131"/>
      <c r="C96" s="204"/>
      <c r="D96" s="204"/>
      <c r="E96" s="204"/>
      <c r="F96" s="132"/>
      <c r="G96" s="215"/>
      <c r="H96" s="123"/>
    </row>
    <row r="97" spans="1:8" ht="17.25" thickTop="1" thickBot="1" x14ac:dyDescent="0.3">
      <c r="A97" s="141" t="s">
        <v>14</v>
      </c>
      <c r="B97" s="142"/>
      <c r="C97" s="207">
        <f>SUM(C84:C96)</f>
        <v>30273118</v>
      </c>
      <c r="D97" s="261">
        <f>SUM(D84:D96)</f>
        <v>7212247.0700000003</v>
      </c>
      <c r="E97" s="207">
        <f>SUM(E84:E96)</f>
        <v>7654481</v>
      </c>
      <c r="F97" s="268">
        <f>(+D97-E97)/E97</f>
        <v>-5.7774515345978349E-2</v>
      </c>
      <c r="G97" s="267">
        <f>D97/C97</f>
        <v>0.23823932077297094</v>
      </c>
      <c r="H97" s="123"/>
    </row>
    <row r="98" spans="1:8" ht="15.75" customHeight="1" thickTop="1" x14ac:dyDescent="0.25">
      <c r="A98" s="130"/>
      <c r="B98" s="134"/>
      <c r="C98" s="204"/>
      <c r="D98" s="204"/>
      <c r="E98" s="204"/>
      <c r="F98" s="132"/>
      <c r="G98" s="218"/>
      <c r="H98" s="123"/>
    </row>
    <row r="99" spans="1:8" ht="15.75" x14ac:dyDescent="0.25">
      <c r="A99" s="130" t="s">
        <v>17</v>
      </c>
      <c r="B99" s="131">
        <f>DATE(2018,7,1)</f>
        <v>43282</v>
      </c>
      <c r="C99" s="204">
        <v>1436883</v>
      </c>
      <c r="D99" s="204">
        <v>395162.5</v>
      </c>
      <c r="E99" s="204">
        <v>362602</v>
      </c>
      <c r="F99" s="132">
        <f t="shared" ref="F99:F110" si="12">(+D99-E99)/E99</f>
        <v>8.9796802003298384E-2</v>
      </c>
      <c r="G99" s="215">
        <f t="shared" ref="G99:G110" si="13">D99/C99</f>
        <v>0.27501369283372412</v>
      </c>
      <c r="H99" s="123"/>
    </row>
    <row r="100" spans="1:8" ht="15.75" x14ac:dyDescent="0.25">
      <c r="A100" s="130"/>
      <c r="B100" s="131">
        <f>DATE(2018,8,1)</f>
        <v>43313</v>
      </c>
      <c r="C100" s="204">
        <v>1346022</v>
      </c>
      <c r="D100" s="204">
        <v>271146</v>
      </c>
      <c r="E100" s="204">
        <v>327445</v>
      </c>
      <c r="F100" s="132">
        <f t="shared" si="12"/>
        <v>-0.17193421796026814</v>
      </c>
      <c r="G100" s="215">
        <f t="shared" si="13"/>
        <v>0.20144247270846985</v>
      </c>
      <c r="H100" s="123"/>
    </row>
    <row r="101" spans="1:8" ht="15.75" x14ac:dyDescent="0.25">
      <c r="A101" s="130"/>
      <c r="B101" s="131">
        <f>DATE(2018,9,1)</f>
        <v>43344</v>
      </c>
      <c r="C101" s="204">
        <v>1317459</v>
      </c>
      <c r="D101" s="204">
        <v>347747</v>
      </c>
      <c r="E101" s="204">
        <v>332251.5</v>
      </c>
      <c r="F101" s="132">
        <f t="shared" si="12"/>
        <v>4.6637863184966807E-2</v>
      </c>
      <c r="G101" s="215">
        <f t="shared" si="13"/>
        <v>0.26395280612148081</v>
      </c>
      <c r="H101" s="123"/>
    </row>
    <row r="102" spans="1:8" ht="15.75" x14ac:dyDescent="0.25">
      <c r="A102" s="130"/>
      <c r="B102" s="131">
        <f>DATE(2018,10,1)</f>
        <v>43374</v>
      </c>
      <c r="C102" s="204">
        <v>1265550</v>
      </c>
      <c r="D102" s="204">
        <v>240203.5</v>
      </c>
      <c r="E102" s="204">
        <v>339253.5</v>
      </c>
      <c r="F102" s="132">
        <f t="shared" si="12"/>
        <v>-0.29196456337222754</v>
      </c>
      <c r="G102" s="215">
        <f t="shared" si="13"/>
        <v>0.18980166725929437</v>
      </c>
      <c r="H102" s="123"/>
    </row>
    <row r="103" spans="1:8" ht="15.75" x14ac:dyDescent="0.25">
      <c r="A103" s="130"/>
      <c r="B103" s="131">
        <f>DATE(2018,11,1)</f>
        <v>43405</v>
      </c>
      <c r="C103" s="204">
        <v>1401653</v>
      </c>
      <c r="D103" s="204">
        <v>171704.5</v>
      </c>
      <c r="E103" s="204">
        <v>333725</v>
      </c>
      <c r="F103" s="132">
        <f t="shared" si="12"/>
        <v>-0.48549104801857818</v>
      </c>
      <c r="G103" s="215">
        <f t="shared" si="13"/>
        <v>0.12250143223750815</v>
      </c>
      <c r="H103" s="123"/>
    </row>
    <row r="104" spans="1:8" ht="15.75" x14ac:dyDescent="0.25">
      <c r="A104" s="130"/>
      <c r="B104" s="131">
        <f>DATE(2018,12,1)</f>
        <v>43435</v>
      </c>
      <c r="C104" s="204">
        <v>1462254</v>
      </c>
      <c r="D104" s="204">
        <v>334648.5</v>
      </c>
      <c r="E104" s="204">
        <v>307903.75</v>
      </c>
      <c r="F104" s="132">
        <f t="shared" si="12"/>
        <v>8.6860747879816333E-2</v>
      </c>
      <c r="G104" s="215">
        <f t="shared" si="13"/>
        <v>0.22885798226573495</v>
      </c>
      <c r="H104" s="123"/>
    </row>
    <row r="105" spans="1:8" ht="15.75" x14ac:dyDescent="0.25">
      <c r="A105" s="130"/>
      <c r="B105" s="131">
        <f>DATE(2019,1,1)</f>
        <v>43466</v>
      </c>
      <c r="C105" s="204">
        <v>1349219</v>
      </c>
      <c r="D105" s="204">
        <v>312324</v>
      </c>
      <c r="E105" s="204">
        <v>242105.5</v>
      </c>
      <c r="F105" s="132">
        <f t="shared" si="12"/>
        <v>0.29003265105501524</v>
      </c>
      <c r="G105" s="215">
        <f t="shared" si="13"/>
        <v>0.23148502948742938</v>
      </c>
      <c r="H105" s="123"/>
    </row>
    <row r="106" spans="1:8" ht="15.75" x14ac:dyDescent="0.25">
      <c r="A106" s="130"/>
      <c r="B106" s="131">
        <f>DATE(2019,2,1)</f>
        <v>43497</v>
      </c>
      <c r="C106" s="204">
        <v>1249766</v>
      </c>
      <c r="D106" s="204">
        <v>300723</v>
      </c>
      <c r="E106" s="204">
        <v>272009.5</v>
      </c>
      <c r="F106" s="132">
        <f t="shared" si="12"/>
        <v>0.10556065137430862</v>
      </c>
      <c r="G106" s="215">
        <f t="shared" si="13"/>
        <v>0.2406234447088495</v>
      </c>
      <c r="H106" s="123"/>
    </row>
    <row r="107" spans="1:8" ht="15.75" x14ac:dyDescent="0.25">
      <c r="A107" s="130"/>
      <c r="B107" s="131">
        <f>DATE(2019,3,1)</f>
        <v>43525</v>
      </c>
      <c r="C107" s="204">
        <v>1694818.26</v>
      </c>
      <c r="D107" s="204">
        <v>350610.26</v>
      </c>
      <c r="E107" s="204">
        <v>265483</v>
      </c>
      <c r="F107" s="132">
        <f t="shared" si="12"/>
        <v>0.32065051246219156</v>
      </c>
      <c r="G107" s="215">
        <f t="shared" si="13"/>
        <v>0.20687189197501329</v>
      </c>
      <c r="H107" s="123"/>
    </row>
    <row r="108" spans="1:8" ht="15.75" x14ac:dyDescent="0.25">
      <c r="A108" s="130"/>
      <c r="B108" s="131">
        <f>DATE(2019,4,1)</f>
        <v>43556</v>
      </c>
      <c r="C108" s="204">
        <v>1497478</v>
      </c>
      <c r="D108" s="204">
        <v>345746.5</v>
      </c>
      <c r="E108" s="204">
        <v>271676</v>
      </c>
      <c r="F108" s="132">
        <f t="shared" si="12"/>
        <v>0.27264278037073575</v>
      </c>
      <c r="G108" s="215">
        <f t="shared" si="13"/>
        <v>0.23088586276392709</v>
      </c>
      <c r="H108" s="123"/>
    </row>
    <row r="109" spans="1:8" ht="15.75" x14ac:dyDescent="0.25">
      <c r="A109" s="130"/>
      <c r="B109" s="131">
        <f>DATE(2019,5,1)</f>
        <v>43586</v>
      </c>
      <c r="C109" s="204">
        <v>1494348</v>
      </c>
      <c r="D109" s="204">
        <v>361616.5</v>
      </c>
      <c r="E109" s="204">
        <v>267747</v>
      </c>
      <c r="F109" s="132">
        <f t="shared" si="12"/>
        <v>0.35059029606307446</v>
      </c>
      <c r="G109" s="215">
        <f t="shared" si="13"/>
        <v>0.2419894830387567</v>
      </c>
      <c r="H109" s="123"/>
    </row>
    <row r="110" spans="1:8" ht="15.75" x14ac:dyDescent="0.25">
      <c r="A110" s="130"/>
      <c r="B110" s="131">
        <f>DATE(2019,6,1)</f>
        <v>43617</v>
      </c>
      <c r="C110" s="204">
        <v>1303616</v>
      </c>
      <c r="D110" s="204">
        <v>289446</v>
      </c>
      <c r="E110" s="204">
        <v>277397</v>
      </c>
      <c r="F110" s="132">
        <f t="shared" si="12"/>
        <v>4.3435941989278901E-2</v>
      </c>
      <c r="G110" s="215">
        <f t="shared" si="13"/>
        <v>0.22203317541361872</v>
      </c>
      <c r="H110" s="123"/>
    </row>
    <row r="111" spans="1:8" ht="15.75" customHeight="1" thickBot="1" x14ac:dyDescent="0.3">
      <c r="A111" s="130"/>
      <c r="B111" s="131"/>
      <c r="C111" s="204"/>
      <c r="D111" s="204"/>
      <c r="E111" s="204"/>
      <c r="F111" s="132"/>
      <c r="G111" s="215"/>
      <c r="H111" s="123"/>
    </row>
    <row r="112" spans="1:8" ht="17.25" thickTop="1" thickBot="1" x14ac:dyDescent="0.3">
      <c r="A112" s="141" t="s">
        <v>14</v>
      </c>
      <c r="B112" s="142"/>
      <c r="C112" s="207">
        <f>SUM(C99:C111)</f>
        <v>16819066.259999998</v>
      </c>
      <c r="D112" s="261">
        <f>SUM(D99:D111)</f>
        <v>3721078.26</v>
      </c>
      <c r="E112" s="207">
        <f>SUM(E99:E111)</f>
        <v>3599598.75</v>
      </c>
      <c r="F112" s="269">
        <f>(+D112-E112)/E112</f>
        <v>3.3748069836950514E-2</v>
      </c>
      <c r="G112" s="267">
        <f>D112/C112</f>
        <v>0.22124166719347951</v>
      </c>
      <c r="H112" s="123"/>
    </row>
    <row r="113" spans="1:8" ht="15.75" customHeight="1" thickTop="1" x14ac:dyDescent="0.25">
      <c r="A113" s="130"/>
      <c r="B113" s="139"/>
      <c r="C113" s="205"/>
      <c r="D113" s="205"/>
      <c r="E113" s="205"/>
      <c r="F113" s="140"/>
      <c r="G113" s="216"/>
      <c r="H113" s="123"/>
    </row>
    <row r="114" spans="1:8" ht="15.75" x14ac:dyDescent="0.25">
      <c r="A114" s="130" t="s">
        <v>55</v>
      </c>
      <c r="B114" s="131">
        <f>DATE(2018,7,1)</f>
        <v>43282</v>
      </c>
      <c r="C114" s="204">
        <v>13110915</v>
      </c>
      <c r="D114" s="204">
        <v>2057880.1</v>
      </c>
      <c r="E114" s="204">
        <v>2414267.38</v>
      </c>
      <c r="F114" s="132">
        <f t="shared" ref="F114:F125" si="14">(+D114-E114)/E114</f>
        <v>-0.14761715415299187</v>
      </c>
      <c r="G114" s="215">
        <f t="shared" ref="G114:G125" si="15">D114/C114</f>
        <v>0.15695930451841081</v>
      </c>
      <c r="H114" s="123"/>
    </row>
    <row r="115" spans="1:8" ht="15.75" x14ac:dyDescent="0.25">
      <c r="A115" s="130"/>
      <c r="B115" s="131">
        <f>DATE(2018,8,1)</f>
        <v>43313</v>
      </c>
      <c r="C115" s="204">
        <v>13239234</v>
      </c>
      <c r="D115" s="204">
        <v>2105874.34</v>
      </c>
      <c r="E115" s="204">
        <v>2346748.2999999998</v>
      </c>
      <c r="F115" s="132">
        <f t="shared" si="14"/>
        <v>-0.10264158282334751</v>
      </c>
      <c r="G115" s="215">
        <f t="shared" si="15"/>
        <v>0.15906315576867966</v>
      </c>
      <c r="H115" s="123"/>
    </row>
    <row r="116" spans="1:8" ht="15.75" x14ac:dyDescent="0.25">
      <c r="A116" s="130"/>
      <c r="B116" s="131">
        <f>DATE(2018,9,1)</f>
        <v>43344</v>
      </c>
      <c r="C116" s="204">
        <v>12390658</v>
      </c>
      <c r="D116" s="204">
        <v>2555133.64</v>
      </c>
      <c r="E116" s="204">
        <v>2183188.7200000002</v>
      </c>
      <c r="F116" s="132">
        <f t="shared" si="14"/>
        <v>0.17036773623491416</v>
      </c>
      <c r="G116" s="215">
        <f t="shared" si="15"/>
        <v>0.20621452387758585</v>
      </c>
      <c r="H116" s="123"/>
    </row>
    <row r="117" spans="1:8" ht="15.75" x14ac:dyDescent="0.25">
      <c r="A117" s="130"/>
      <c r="B117" s="131">
        <f>DATE(2018,10,1)</f>
        <v>43374</v>
      </c>
      <c r="C117" s="204">
        <v>12275724</v>
      </c>
      <c r="D117" s="204">
        <v>2662687.6</v>
      </c>
      <c r="E117" s="204">
        <v>1755251.41</v>
      </c>
      <c r="F117" s="132">
        <f t="shared" si="14"/>
        <v>0.51698359837808094</v>
      </c>
      <c r="G117" s="215">
        <f t="shared" si="15"/>
        <v>0.21690676655812724</v>
      </c>
      <c r="H117" s="123"/>
    </row>
    <row r="118" spans="1:8" ht="15.75" x14ac:dyDescent="0.25">
      <c r="A118" s="130"/>
      <c r="B118" s="131">
        <f>DATE(2018,11,1)</f>
        <v>43405</v>
      </c>
      <c r="C118" s="204">
        <v>12544158</v>
      </c>
      <c r="D118" s="204">
        <v>2453062.8199999998</v>
      </c>
      <c r="E118" s="204">
        <v>2283849</v>
      </c>
      <c r="F118" s="132">
        <f t="shared" si="14"/>
        <v>7.4091509552514132E-2</v>
      </c>
      <c r="G118" s="215">
        <f t="shared" si="15"/>
        <v>0.19555420300031295</v>
      </c>
      <c r="H118" s="123"/>
    </row>
    <row r="119" spans="1:8" ht="15.75" x14ac:dyDescent="0.25">
      <c r="A119" s="130"/>
      <c r="B119" s="131">
        <f>DATE(2018,12,1)</f>
        <v>43435</v>
      </c>
      <c r="C119" s="204">
        <v>13031097</v>
      </c>
      <c r="D119" s="204">
        <v>2360180.63</v>
      </c>
      <c r="E119" s="204">
        <v>2519457.5299999998</v>
      </c>
      <c r="F119" s="132">
        <f t="shared" si="14"/>
        <v>-6.3218727882267539E-2</v>
      </c>
      <c r="G119" s="215">
        <f t="shared" si="15"/>
        <v>0.18111910532167783</v>
      </c>
      <c r="H119" s="123"/>
    </row>
    <row r="120" spans="1:8" ht="15.75" x14ac:dyDescent="0.25">
      <c r="A120" s="130"/>
      <c r="B120" s="131">
        <f>DATE(2019,1,1)</f>
        <v>43466</v>
      </c>
      <c r="C120" s="204">
        <v>10882666</v>
      </c>
      <c r="D120" s="204">
        <v>2536749.79</v>
      </c>
      <c r="E120" s="204">
        <v>2138515.9900000002</v>
      </c>
      <c r="F120" s="132">
        <f t="shared" si="14"/>
        <v>0.1862196971461503</v>
      </c>
      <c r="G120" s="215">
        <f t="shared" si="15"/>
        <v>0.23310003173854643</v>
      </c>
      <c r="H120" s="123"/>
    </row>
    <row r="121" spans="1:8" ht="15.75" x14ac:dyDescent="0.25">
      <c r="A121" s="130"/>
      <c r="B121" s="131">
        <f>DATE(2019,2,1)</f>
        <v>43497</v>
      </c>
      <c r="C121" s="204">
        <v>10918433</v>
      </c>
      <c r="D121" s="204">
        <v>1828257.84</v>
      </c>
      <c r="E121" s="204">
        <v>2359809.15</v>
      </c>
      <c r="F121" s="132">
        <f t="shared" si="14"/>
        <v>-0.22525182174160135</v>
      </c>
      <c r="G121" s="215">
        <f t="shared" si="15"/>
        <v>0.16744690744541824</v>
      </c>
      <c r="H121" s="123"/>
    </row>
    <row r="122" spans="1:8" ht="15.75" x14ac:dyDescent="0.25">
      <c r="A122" s="130"/>
      <c r="B122" s="131">
        <f>DATE(2019,3,1)</f>
        <v>43525</v>
      </c>
      <c r="C122" s="204">
        <v>13341524</v>
      </c>
      <c r="D122" s="204">
        <v>2606223</v>
      </c>
      <c r="E122" s="204">
        <v>2616619.2000000002</v>
      </c>
      <c r="F122" s="132">
        <f t="shared" si="14"/>
        <v>-3.9731421369988366E-3</v>
      </c>
      <c r="G122" s="215">
        <f t="shared" si="15"/>
        <v>0.19534672350774918</v>
      </c>
      <c r="H122" s="123"/>
    </row>
    <row r="123" spans="1:8" ht="15.75" x14ac:dyDescent="0.25">
      <c r="A123" s="130"/>
      <c r="B123" s="131">
        <f>DATE(2019,4,1)</f>
        <v>43556</v>
      </c>
      <c r="C123" s="204">
        <v>12294057</v>
      </c>
      <c r="D123" s="204">
        <v>2421994.13</v>
      </c>
      <c r="E123" s="204">
        <v>2580078.54</v>
      </c>
      <c r="F123" s="132">
        <f t="shared" si="14"/>
        <v>-6.1271161923621191E-2</v>
      </c>
      <c r="G123" s="215">
        <f t="shared" si="15"/>
        <v>0.19700527905474977</v>
      </c>
      <c r="H123" s="123"/>
    </row>
    <row r="124" spans="1:8" ht="15.75" x14ac:dyDescent="0.25">
      <c r="A124" s="130"/>
      <c r="B124" s="131">
        <f>DATE(2019,5,1)</f>
        <v>43586</v>
      </c>
      <c r="C124" s="204">
        <v>11914383</v>
      </c>
      <c r="D124" s="204">
        <v>2704491.56</v>
      </c>
      <c r="E124" s="204">
        <v>2779429.23</v>
      </c>
      <c r="F124" s="132">
        <f t="shared" si="14"/>
        <v>-2.6961531954530077E-2</v>
      </c>
      <c r="G124" s="215">
        <f t="shared" si="15"/>
        <v>0.22699384097355271</v>
      </c>
      <c r="H124" s="123"/>
    </row>
    <row r="125" spans="1:8" ht="15.75" x14ac:dyDescent="0.25">
      <c r="A125" s="130"/>
      <c r="B125" s="131">
        <f>DATE(2019,6,1)</f>
        <v>43617</v>
      </c>
      <c r="C125" s="204">
        <v>11380429</v>
      </c>
      <c r="D125" s="204">
        <v>2244184</v>
      </c>
      <c r="E125" s="204">
        <v>2616409.61</v>
      </c>
      <c r="F125" s="132">
        <f t="shared" si="14"/>
        <v>-0.14226580141631565</v>
      </c>
      <c r="G125" s="215">
        <f t="shared" si="15"/>
        <v>0.19719678405796479</v>
      </c>
      <c r="H125" s="123"/>
    </row>
    <row r="126" spans="1:8" ht="15.75" customHeight="1" thickBot="1" x14ac:dyDescent="0.3">
      <c r="A126" s="130"/>
      <c r="B126" s="131"/>
      <c r="C126" s="204"/>
      <c r="D126" s="204"/>
      <c r="E126" s="204"/>
      <c r="F126" s="132"/>
      <c r="G126" s="215"/>
      <c r="H126" s="123"/>
    </row>
    <row r="127" spans="1:8" ht="17.25" thickTop="1" thickBot="1" x14ac:dyDescent="0.3">
      <c r="A127" s="141" t="s">
        <v>14</v>
      </c>
      <c r="B127" s="142"/>
      <c r="C127" s="206">
        <f>SUM(C114:C126)</f>
        <v>147323278</v>
      </c>
      <c r="D127" s="206">
        <f>SUM(D114:D126)</f>
        <v>28536719.449999996</v>
      </c>
      <c r="E127" s="206">
        <f>SUM(E114:E126)</f>
        <v>28593624.059999999</v>
      </c>
      <c r="F127" s="143">
        <f>(+D127-E127)/E127</f>
        <v>-1.9901153446165555E-3</v>
      </c>
      <c r="G127" s="217">
        <f>D127/C127</f>
        <v>0.19370136096211488</v>
      </c>
      <c r="H127" s="123"/>
    </row>
    <row r="128" spans="1:8" ht="15.75" customHeight="1" thickTop="1" x14ac:dyDescent="0.25">
      <c r="A128" s="138"/>
      <c r="B128" s="139"/>
      <c r="C128" s="205"/>
      <c r="D128" s="205"/>
      <c r="E128" s="205"/>
      <c r="F128" s="140"/>
      <c r="G128" s="216"/>
      <c r="H128" s="123"/>
    </row>
    <row r="129" spans="1:8" ht="15.75" x14ac:dyDescent="0.25">
      <c r="A129" s="130" t="s">
        <v>18</v>
      </c>
      <c r="B129" s="131">
        <f>DATE(2018,7,1)</f>
        <v>43282</v>
      </c>
      <c r="C129" s="204">
        <v>13620105.34</v>
      </c>
      <c r="D129" s="204">
        <v>2729067.84</v>
      </c>
      <c r="E129" s="204">
        <v>2350317.5</v>
      </c>
      <c r="F129" s="132">
        <f t="shared" ref="F129:F140" si="16">(+D129-E129)/E129</f>
        <v>0.16114858524433395</v>
      </c>
      <c r="G129" s="215">
        <f t="shared" ref="G129:G140" si="17">D129/C129</f>
        <v>0.20037053839702534</v>
      </c>
      <c r="H129" s="123"/>
    </row>
    <row r="130" spans="1:8" ht="15.75" x14ac:dyDescent="0.25">
      <c r="A130" s="130"/>
      <c r="B130" s="131">
        <f>DATE(2018,8,1)</f>
        <v>43313</v>
      </c>
      <c r="C130" s="204">
        <v>12049552</v>
      </c>
      <c r="D130" s="204">
        <v>2970026</v>
      </c>
      <c r="E130" s="204">
        <v>1942234.5</v>
      </c>
      <c r="F130" s="132">
        <f t="shared" si="16"/>
        <v>0.52917992137406678</v>
      </c>
      <c r="G130" s="215">
        <f t="shared" si="17"/>
        <v>0.24648435062150029</v>
      </c>
      <c r="H130" s="123"/>
    </row>
    <row r="131" spans="1:8" ht="15.75" x14ac:dyDescent="0.25">
      <c r="A131" s="130"/>
      <c r="B131" s="131">
        <f>DATE(2018,9,1)</f>
        <v>43344</v>
      </c>
      <c r="C131" s="204">
        <v>11797906</v>
      </c>
      <c r="D131" s="204">
        <v>2637413.5</v>
      </c>
      <c r="E131" s="204">
        <v>2639234.2599999998</v>
      </c>
      <c r="F131" s="132">
        <f t="shared" si="16"/>
        <v>-6.8988192052333263E-4</v>
      </c>
      <c r="G131" s="215">
        <f t="shared" si="17"/>
        <v>0.22354928917046804</v>
      </c>
      <c r="H131" s="123"/>
    </row>
    <row r="132" spans="1:8" ht="15.75" x14ac:dyDescent="0.25">
      <c r="A132" s="130"/>
      <c r="B132" s="131">
        <f>DATE(2018,10,1)</f>
        <v>43374</v>
      </c>
      <c r="C132" s="204">
        <v>11119336</v>
      </c>
      <c r="D132" s="204">
        <v>1894492</v>
      </c>
      <c r="E132" s="204">
        <v>2495709.5</v>
      </c>
      <c r="F132" s="132">
        <f t="shared" si="16"/>
        <v>-0.24090043332367009</v>
      </c>
      <c r="G132" s="215">
        <f t="shared" si="17"/>
        <v>0.17037815927138095</v>
      </c>
      <c r="H132" s="123"/>
    </row>
    <row r="133" spans="1:8" ht="15.75" x14ac:dyDescent="0.25">
      <c r="A133" s="130"/>
      <c r="B133" s="131">
        <f>DATE(2018,11,1)</f>
        <v>43405</v>
      </c>
      <c r="C133" s="204">
        <v>11602598.5</v>
      </c>
      <c r="D133" s="204">
        <v>2412367</v>
      </c>
      <c r="E133" s="204">
        <v>2041604</v>
      </c>
      <c r="F133" s="132">
        <f t="shared" si="16"/>
        <v>0.18160377820576371</v>
      </c>
      <c r="G133" s="215">
        <f t="shared" si="17"/>
        <v>0.20791609741559186</v>
      </c>
      <c r="H133" s="123"/>
    </row>
    <row r="134" spans="1:8" ht="15.75" x14ac:dyDescent="0.25">
      <c r="A134" s="130"/>
      <c r="B134" s="131">
        <f>DATE(2018,12,1)</f>
        <v>43435</v>
      </c>
      <c r="C134" s="204">
        <v>12657489</v>
      </c>
      <c r="D134" s="204">
        <v>2615452.5</v>
      </c>
      <c r="E134" s="204">
        <v>2741297</v>
      </c>
      <c r="F134" s="132">
        <f t="shared" si="16"/>
        <v>-4.5906919242971481E-2</v>
      </c>
      <c r="G134" s="215">
        <f t="shared" si="17"/>
        <v>0.20663280845039644</v>
      </c>
      <c r="H134" s="123"/>
    </row>
    <row r="135" spans="1:8" ht="15.75" x14ac:dyDescent="0.25">
      <c r="A135" s="130"/>
      <c r="B135" s="131">
        <f>DATE(2019,1,1)</f>
        <v>43466</v>
      </c>
      <c r="C135" s="204">
        <v>10915541</v>
      </c>
      <c r="D135" s="204">
        <v>2027761</v>
      </c>
      <c r="E135" s="204">
        <v>2741722.5</v>
      </c>
      <c r="F135" s="132">
        <f t="shared" si="16"/>
        <v>-0.26040618625699719</v>
      </c>
      <c r="G135" s="215">
        <f t="shared" si="17"/>
        <v>0.18576825463804314</v>
      </c>
      <c r="H135" s="123"/>
    </row>
    <row r="136" spans="1:8" ht="15.75" x14ac:dyDescent="0.25">
      <c r="A136" s="130"/>
      <c r="B136" s="131">
        <f>DATE(2019,2,1)</f>
        <v>43497</v>
      </c>
      <c r="C136" s="204">
        <v>10957943</v>
      </c>
      <c r="D136" s="204">
        <v>2349146</v>
      </c>
      <c r="E136" s="204">
        <v>2377846.5</v>
      </c>
      <c r="F136" s="132">
        <f t="shared" si="16"/>
        <v>-1.2069954894060656E-2</v>
      </c>
      <c r="G136" s="215">
        <f t="shared" si="17"/>
        <v>0.21437837375135096</v>
      </c>
      <c r="H136" s="123"/>
    </row>
    <row r="137" spans="1:8" ht="15.75" x14ac:dyDescent="0.25">
      <c r="A137" s="130"/>
      <c r="B137" s="131">
        <f>DATE(2019,3,1)</f>
        <v>43525</v>
      </c>
      <c r="C137" s="204">
        <v>14321433</v>
      </c>
      <c r="D137" s="204">
        <v>2873476</v>
      </c>
      <c r="E137" s="204">
        <v>2485041.2000000002</v>
      </c>
      <c r="F137" s="132">
        <f t="shared" si="16"/>
        <v>0.15630919921971506</v>
      </c>
      <c r="G137" s="215">
        <f t="shared" si="17"/>
        <v>0.20064165366692005</v>
      </c>
      <c r="H137" s="123"/>
    </row>
    <row r="138" spans="1:8" ht="15.75" x14ac:dyDescent="0.25">
      <c r="A138" s="130"/>
      <c r="B138" s="131">
        <f>DATE(2019,4,1)</f>
        <v>43556</v>
      </c>
      <c r="C138" s="204">
        <v>12171558</v>
      </c>
      <c r="D138" s="204">
        <v>2435726.5</v>
      </c>
      <c r="E138" s="204">
        <v>2474304</v>
      </c>
      <c r="F138" s="132">
        <f t="shared" si="16"/>
        <v>-1.5591253136235482E-2</v>
      </c>
      <c r="G138" s="215">
        <f t="shared" si="17"/>
        <v>0.20011624641644069</v>
      </c>
      <c r="H138" s="123"/>
    </row>
    <row r="139" spans="1:8" ht="15.75" x14ac:dyDescent="0.25">
      <c r="A139" s="130"/>
      <c r="B139" s="131">
        <f>DATE(2019,5,1)</f>
        <v>43586</v>
      </c>
      <c r="C139" s="204">
        <v>11888962</v>
      </c>
      <c r="D139" s="204">
        <v>2901413</v>
      </c>
      <c r="E139" s="204">
        <v>2335108.5</v>
      </c>
      <c r="F139" s="132">
        <f t="shared" si="16"/>
        <v>0.24251742477919119</v>
      </c>
      <c r="G139" s="215">
        <f t="shared" si="17"/>
        <v>0.24404258336430043</v>
      </c>
      <c r="H139" s="123"/>
    </row>
    <row r="140" spans="1:8" ht="15.75" x14ac:dyDescent="0.25">
      <c r="A140" s="130"/>
      <c r="B140" s="131">
        <f>DATE(2019,6,1)</f>
        <v>43617</v>
      </c>
      <c r="C140" s="204">
        <v>11026324.5</v>
      </c>
      <c r="D140" s="204">
        <v>2356921.5</v>
      </c>
      <c r="E140" s="204">
        <v>2096439.75</v>
      </c>
      <c r="F140" s="132">
        <f t="shared" si="16"/>
        <v>0.1242495759775591</v>
      </c>
      <c r="G140" s="215">
        <f t="shared" si="17"/>
        <v>0.21375404832317424</v>
      </c>
      <c r="H140" s="123"/>
    </row>
    <row r="141" spans="1:8" ht="15.75" customHeight="1" thickBot="1" x14ac:dyDescent="0.3">
      <c r="A141" s="130"/>
      <c r="B141" s="131"/>
      <c r="C141" s="204"/>
      <c r="D141" s="204"/>
      <c r="E141" s="204"/>
      <c r="F141" s="132"/>
      <c r="G141" s="215"/>
      <c r="H141" s="123"/>
    </row>
    <row r="142" spans="1:8" ht="17.25" thickTop="1" thickBot="1" x14ac:dyDescent="0.3">
      <c r="A142" s="141" t="s">
        <v>14</v>
      </c>
      <c r="B142" s="142"/>
      <c r="C142" s="206">
        <f>SUM(C129:C141)</f>
        <v>144128748.34</v>
      </c>
      <c r="D142" s="206">
        <f>SUM(D129:D141)</f>
        <v>30203262.84</v>
      </c>
      <c r="E142" s="206">
        <f>SUM(E129:E141)</f>
        <v>28720859.209999997</v>
      </c>
      <c r="F142" s="143">
        <f>(+D142-E142)/E142</f>
        <v>5.1614181148308437E-2</v>
      </c>
      <c r="G142" s="217">
        <f>D142/C142</f>
        <v>0.2095575184539204</v>
      </c>
      <c r="H142" s="123"/>
    </row>
    <row r="143" spans="1:8" ht="15.75" customHeight="1" thickTop="1" x14ac:dyDescent="0.25">
      <c r="A143" s="138"/>
      <c r="B143" s="139"/>
      <c r="C143" s="205"/>
      <c r="D143" s="205"/>
      <c r="E143" s="205"/>
      <c r="F143" s="140"/>
      <c r="G143" s="216"/>
      <c r="H143" s="123"/>
    </row>
    <row r="144" spans="1:8" ht="15.75" x14ac:dyDescent="0.25">
      <c r="A144" s="130" t="s">
        <v>58</v>
      </c>
      <c r="B144" s="131">
        <f>DATE(2018,7,1)</f>
        <v>43282</v>
      </c>
      <c r="C144" s="204">
        <v>12908644</v>
      </c>
      <c r="D144" s="204">
        <v>2887936.73</v>
      </c>
      <c r="E144" s="204">
        <v>2354816.66</v>
      </c>
      <c r="F144" s="132">
        <f t="shared" ref="F144:F155" si="18">(+D144-E144)/E144</f>
        <v>0.22639557425247697</v>
      </c>
      <c r="G144" s="215">
        <f t="shared" ref="G144:G155" si="19">D144/C144</f>
        <v>0.22372115382529723</v>
      </c>
      <c r="H144" s="123"/>
    </row>
    <row r="145" spans="1:8" ht="15.75" x14ac:dyDescent="0.25">
      <c r="A145" s="130"/>
      <c r="B145" s="131">
        <f>DATE(2018,8,1)</f>
        <v>43313</v>
      </c>
      <c r="C145" s="204">
        <v>11947559</v>
      </c>
      <c r="D145" s="204">
        <v>2450226.84</v>
      </c>
      <c r="E145" s="204">
        <v>1981472</v>
      </c>
      <c r="F145" s="132">
        <f t="shared" si="18"/>
        <v>0.23656899517126653</v>
      </c>
      <c r="G145" s="215">
        <f t="shared" si="19"/>
        <v>0.2050817945322555</v>
      </c>
      <c r="H145" s="123"/>
    </row>
    <row r="146" spans="1:8" ht="15.75" x14ac:dyDescent="0.25">
      <c r="A146" s="130"/>
      <c r="B146" s="131">
        <f>DATE(2018,9,1)</f>
        <v>43344</v>
      </c>
      <c r="C146" s="204">
        <v>12029316</v>
      </c>
      <c r="D146" s="204">
        <v>1932757.4</v>
      </c>
      <c r="E146" s="204">
        <v>2416134</v>
      </c>
      <c r="F146" s="132">
        <f t="shared" si="18"/>
        <v>-0.20006199987252365</v>
      </c>
      <c r="G146" s="215">
        <f t="shared" si="19"/>
        <v>0.1606705983947882</v>
      </c>
      <c r="H146" s="123"/>
    </row>
    <row r="147" spans="1:8" ht="15.75" x14ac:dyDescent="0.25">
      <c r="A147" s="130"/>
      <c r="B147" s="131">
        <f>DATE(2018,10,1)</f>
        <v>43374</v>
      </c>
      <c r="C147" s="204">
        <v>13251865</v>
      </c>
      <c r="D147" s="204">
        <v>1108774.5</v>
      </c>
      <c r="E147" s="204">
        <v>2118997.3199999998</v>
      </c>
      <c r="F147" s="132">
        <f t="shared" si="18"/>
        <v>-0.47674568082983698</v>
      </c>
      <c r="G147" s="215">
        <f t="shared" si="19"/>
        <v>8.3669317488519537E-2</v>
      </c>
      <c r="H147" s="123"/>
    </row>
    <row r="148" spans="1:8" ht="15.75" x14ac:dyDescent="0.25">
      <c r="A148" s="130"/>
      <c r="B148" s="131">
        <f>DATE(2018,11,1)</f>
        <v>43405</v>
      </c>
      <c r="C148" s="204">
        <v>14843812</v>
      </c>
      <c r="D148" s="204">
        <v>4255264.95</v>
      </c>
      <c r="E148" s="204">
        <v>2312922.92</v>
      </c>
      <c r="F148" s="132">
        <f t="shared" si="18"/>
        <v>0.83977810639707795</v>
      </c>
      <c r="G148" s="215">
        <f t="shared" si="19"/>
        <v>0.28666928346977177</v>
      </c>
      <c r="H148" s="123"/>
    </row>
    <row r="149" spans="1:8" ht="15.75" x14ac:dyDescent="0.25">
      <c r="A149" s="130"/>
      <c r="B149" s="131">
        <f>DATE(2018,12,1)</f>
        <v>43435</v>
      </c>
      <c r="C149" s="204">
        <v>15844873</v>
      </c>
      <c r="D149" s="204">
        <v>3211966.31</v>
      </c>
      <c r="E149" s="204">
        <v>2152431.25</v>
      </c>
      <c r="F149" s="132">
        <f t="shared" si="18"/>
        <v>0.49225036107425035</v>
      </c>
      <c r="G149" s="215">
        <f t="shared" si="19"/>
        <v>0.20271328839303415</v>
      </c>
      <c r="H149" s="123"/>
    </row>
    <row r="150" spans="1:8" ht="15.75" x14ac:dyDescent="0.25">
      <c r="A150" s="130"/>
      <c r="B150" s="131">
        <f>DATE(2019,1,1)</f>
        <v>43466</v>
      </c>
      <c r="C150" s="204">
        <v>12543073</v>
      </c>
      <c r="D150" s="204">
        <v>2271310.91</v>
      </c>
      <c r="E150" s="204">
        <v>2163065</v>
      </c>
      <c r="F150" s="132">
        <f t="shared" si="18"/>
        <v>5.0042837362723795E-2</v>
      </c>
      <c r="G150" s="215">
        <f t="shared" si="19"/>
        <v>0.18108089700187507</v>
      </c>
      <c r="H150" s="123"/>
    </row>
    <row r="151" spans="1:8" ht="15.75" x14ac:dyDescent="0.25">
      <c r="A151" s="130"/>
      <c r="B151" s="131">
        <f>DATE(2019,2,1)</f>
        <v>43497</v>
      </c>
      <c r="C151" s="204">
        <v>12034314</v>
      </c>
      <c r="D151" s="204">
        <v>2581578.12</v>
      </c>
      <c r="E151" s="204">
        <v>2130295.34</v>
      </c>
      <c r="F151" s="132">
        <f t="shared" si="18"/>
        <v>0.21184047654162369</v>
      </c>
      <c r="G151" s="215">
        <f t="shared" si="19"/>
        <v>0.2145180955059009</v>
      </c>
      <c r="H151" s="123"/>
    </row>
    <row r="152" spans="1:8" ht="15.75" x14ac:dyDescent="0.25">
      <c r="A152" s="130"/>
      <c r="B152" s="131">
        <f>DATE(2019,3,1)</f>
        <v>43525</v>
      </c>
      <c r="C152" s="204">
        <v>14271837</v>
      </c>
      <c r="D152" s="204">
        <v>2833063.37</v>
      </c>
      <c r="E152" s="204">
        <v>2819224.65</v>
      </c>
      <c r="F152" s="132">
        <f t="shared" si="18"/>
        <v>4.9086971483454523E-3</v>
      </c>
      <c r="G152" s="215">
        <f t="shared" si="19"/>
        <v>0.19850726784505737</v>
      </c>
      <c r="H152" s="123"/>
    </row>
    <row r="153" spans="1:8" ht="15.75" x14ac:dyDescent="0.25">
      <c r="A153" s="130"/>
      <c r="B153" s="131">
        <f>DATE(2019,4,1)</f>
        <v>43556</v>
      </c>
      <c r="C153" s="204">
        <v>12499842</v>
      </c>
      <c r="D153" s="204">
        <v>2304119.92</v>
      </c>
      <c r="E153" s="204">
        <v>1984724.5</v>
      </c>
      <c r="F153" s="132">
        <f t="shared" si="18"/>
        <v>0.1609268288873342</v>
      </c>
      <c r="G153" s="215">
        <f t="shared" si="19"/>
        <v>0.18433192355551373</v>
      </c>
      <c r="H153" s="123"/>
    </row>
    <row r="154" spans="1:8" ht="15.75" x14ac:dyDescent="0.25">
      <c r="A154" s="130"/>
      <c r="B154" s="131">
        <f>DATE(2019,5,1)</f>
        <v>43586</v>
      </c>
      <c r="C154" s="204">
        <v>12791333</v>
      </c>
      <c r="D154" s="204">
        <v>2212314.4500000002</v>
      </c>
      <c r="E154" s="204">
        <v>2106755.14</v>
      </c>
      <c r="F154" s="132">
        <f t="shared" si="18"/>
        <v>5.010516314677179E-2</v>
      </c>
      <c r="G154" s="215">
        <f t="shared" si="19"/>
        <v>0.1729541752997909</v>
      </c>
      <c r="H154" s="123"/>
    </row>
    <row r="155" spans="1:8" ht="15.75" x14ac:dyDescent="0.25">
      <c r="A155" s="130"/>
      <c r="B155" s="131">
        <f>DATE(2019,6,1)</f>
        <v>43617</v>
      </c>
      <c r="C155" s="204">
        <v>11088547</v>
      </c>
      <c r="D155" s="204">
        <v>2254897.9700000002</v>
      </c>
      <c r="E155" s="204">
        <v>2754452.5</v>
      </c>
      <c r="F155" s="132">
        <f t="shared" si="18"/>
        <v>-0.18136255027087952</v>
      </c>
      <c r="G155" s="215">
        <f t="shared" si="19"/>
        <v>0.20335378205999399</v>
      </c>
      <c r="H155" s="123"/>
    </row>
    <row r="156" spans="1:8" ht="15.75" thickBot="1" x14ac:dyDescent="0.25">
      <c r="A156" s="133"/>
      <c r="B156" s="131"/>
      <c r="C156" s="204"/>
      <c r="D156" s="204"/>
      <c r="E156" s="204"/>
      <c r="F156" s="132"/>
      <c r="G156" s="215"/>
      <c r="H156" s="123"/>
    </row>
    <row r="157" spans="1:8" ht="17.25" thickTop="1" thickBot="1" x14ac:dyDescent="0.3">
      <c r="A157" s="141" t="s">
        <v>14</v>
      </c>
      <c r="B157" s="142"/>
      <c r="C157" s="207">
        <f>SUM(C144:C156)</f>
        <v>156055015</v>
      </c>
      <c r="D157" s="207">
        <f>SUM(D144:D156)</f>
        <v>30304211.470000003</v>
      </c>
      <c r="E157" s="207">
        <f>SUM(E144:E156)</f>
        <v>27295291.280000001</v>
      </c>
      <c r="F157" s="143">
        <f>(+D157-E157)/E157</f>
        <v>0.11023587032407742</v>
      </c>
      <c r="G157" s="267">
        <f>D157/C157</f>
        <v>0.19418928299100163</v>
      </c>
      <c r="H157" s="123"/>
    </row>
    <row r="158" spans="1:8" ht="15.75" customHeight="1" thickTop="1" x14ac:dyDescent="0.25">
      <c r="A158" s="138"/>
      <c r="B158" s="139"/>
      <c r="C158" s="205"/>
      <c r="D158" s="205"/>
      <c r="E158" s="205"/>
      <c r="F158" s="140"/>
      <c r="G158" s="219"/>
      <c r="H158" s="123"/>
    </row>
    <row r="159" spans="1:8" ht="15.75" x14ac:dyDescent="0.25">
      <c r="A159" s="130" t="s">
        <v>59</v>
      </c>
      <c r="B159" s="131">
        <f>DATE(2018,7,1)</f>
        <v>43282</v>
      </c>
      <c r="C159" s="204">
        <v>623996.5</v>
      </c>
      <c r="D159" s="204">
        <v>154554.5</v>
      </c>
      <c r="E159" s="204">
        <v>185261.5</v>
      </c>
      <c r="F159" s="132">
        <f t="shared" ref="F159:F170" si="20">(+D159-E159)/E159</f>
        <v>-0.16574949463326163</v>
      </c>
      <c r="G159" s="215">
        <f t="shared" ref="G159:G170" si="21">D159/C159</f>
        <v>0.24768488284790058</v>
      </c>
      <c r="H159" s="123"/>
    </row>
    <row r="160" spans="1:8" ht="15.75" x14ac:dyDescent="0.25">
      <c r="A160" s="130"/>
      <c r="B160" s="131">
        <f>DATE(2018,8,1)</f>
        <v>43313</v>
      </c>
      <c r="C160" s="204">
        <v>653768</v>
      </c>
      <c r="D160" s="204">
        <v>228200</v>
      </c>
      <c r="E160" s="204">
        <v>131840.5</v>
      </c>
      <c r="F160" s="132">
        <f t="shared" si="20"/>
        <v>0.73087935801214343</v>
      </c>
      <c r="G160" s="215">
        <f t="shared" si="21"/>
        <v>0.34905348686384163</v>
      </c>
      <c r="H160" s="123"/>
    </row>
    <row r="161" spans="1:8" ht="15.75" x14ac:dyDescent="0.25">
      <c r="A161" s="130"/>
      <c r="B161" s="131">
        <f>DATE(2018,9,1)</f>
        <v>43344</v>
      </c>
      <c r="C161" s="204">
        <v>648238</v>
      </c>
      <c r="D161" s="204">
        <v>133253.5</v>
      </c>
      <c r="E161" s="204">
        <v>130165.5</v>
      </c>
      <c r="F161" s="132">
        <f t="shared" si="20"/>
        <v>2.3723644129972996E-2</v>
      </c>
      <c r="G161" s="215">
        <f t="shared" si="21"/>
        <v>0.20556261743372034</v>
      </c>
      <c r="H161" s="123"/>
    </row>
    <row r="162" spans="1:8" ht="15.75" x14ac:dyDescent="0.25">
      <c r="A162" s="130"/>
      <c r="B162" s="131">
        <f>DATE(2018,10,1)</f>
        <v>43374</v>
      </c>
      <c r="C162" s="204">
        <v>607581</v>
      </c>
      <c r="D162" s="204">
        <v>183569.5</v>
      </c>
      <c r="E162" s="204">
        <v>213032.5</v>
      </c>
      <c r="F162" s="132">
        <f t="shared" si="20"/>
        <v>-0.13830284111579219</v>
      </c>
      <c r="G162" s="215">
        <f t="shared" si="21"/>
        <v>0.30213173222994133</v>
      </c>
      <c r="H162" s="123"/>
    </row>
    <row r="163" spans="1:8" ht="15.75" x14ac:dyDescent="0.25">
      <c r="A163" s="130"/>
      <c r="B163" s="131">
        <f>DATE(2018,11,1)</f>
        <v>43405</v>
      </c>
      <c r="C163" s="204">
        <v>590853</v>
      </c>
      <c r="D163" s="204">
        <v>134566.5</v>
      </c>
      <c r="E163" s="204">
        <v>120661.5</v>
      </c>
      <c r="F163" s="132">
        <f t="shared" si="20"/>
        <v>0.11523974092813366</v>
      </c>
      <c r="G163" s="215">
        <f t="shared" si="21"/>
        <v>0.22774954176419515</v>
      </c>
      <c r="H163" s="123"/>
    </row>
    <row r="164" spans="1:8" ht="15.75" x14ac:dyDescent="0.25">
      <c r="A164" s="130"/>
      <c r="B164" s="131">
        <f>DATE(2018,12,1)</f>
        <v>43435</v>
      </c>
      <c r="C164" s="204">
        <v>630365</v>
      </c>
      <c r="D164" s="204">
        <v>155643.5</v>
      </c>
      <c r="E164" s="204">
        <v>179648.5</v>
      </c>
      <c r="F164" s="132">
        <f t="shared" si="20"/>
        <v>-0.13362204527173899</v>
      </c>
      <c r="G164" s="215">
        <f t="shared" si="21"/>
        <v>0.24691012349987707</v>
      </c>
      <c r="H164" s="123"/>
    </row>
    <row r="165" spans="1:8" ht="15.75" x14ac:dyDescent="0.25">
      <c r="A165" s="130"/>
      <c r="B165" s="131">
        <f>DATE(2019,1,1)</f>
        <v>43466</v>
      </c>
      <c r="C165" s="204">
        <v>555811</v>
      </c>
      <c r="D165" s="204">
        <v>147951.5</v>
      </c>
      <c r="E165" s="204">
        <v>161078</v>
      </c>
      <c r="F165" s="132">
        <f t="shared" si="20"/>
        <v>-8.1491575510001371E-2</v>
      </c>
      <c r="G165" s="215">
        <f t="shared" si="21"/>
        <v>0.26619030569744034</v>
      </c>
      <c r="H165" s="123"/>
    </row>
    <row r="166" spans="1:8" ht="15.75" x14ac:dyDescent="0.25">
      <c r="A166" s="130"/>
      <c r="B166" s="131">
        <f>DATE(2019,2,1)</f>
        <v>43497</v>
      </c>
      <c r="C166" s="204">
        <v>613996</v>
      </c>
      <c r="D166" s="204">
        <v>187673.5</v>
      </c>
      <c r="E166" s="204">
        <v>179952.5</v>
      </c>
      <c r="F166" s="132">
        <f t="shared" si="20"/>
        <v>4.2905766799572108E-2</v>
      </c>
      <c r="G166" s="215">
        <f t="shared" si="21"/>
        <v>0.30565915738864746</v>
      </c>
      <c r="H166" s="123"/>
    </row>
    <row r="167" spans="1:8" ht="15.75" x14ac:dyDescent="0.25">
      <c r="A167" s="130"/>
      <c r="B167" s="131">
        <f>DATE(2019,3,1)</f>
        <v>43525</v>
      </c>
      <c r="C167" s="204">
        <v>733394</v>
      </c>
      <c r="D167" s="204">
        <v>187433.5</v>
      </c>
      <c r="E167" s="204">
        <v>201152</v>
      </c>
      <c r="F167" s="132">
        <f t="shared" si="20"/>
        <v>-6.8199669901368123E-2</v>
      </c>
      <c r="G167" s="215">
        <f t="shared" si="21"/>
        <v>0.25556999375506206</v>
      </c>
      <c r="H167" s="123"/>
    </row>
    <row r="168" spans="1:8" ht="15.75" x14ac:dyDescent="0.25">
      <c r="A168" s="130"/>
      <c r="B168" s="131">
        <f>DATE(2019,4,1)</f>
        <v>43556</v>
      </c>
      <c r="C168" s="204">
        <v>656779</v>
      </c>
      <c r="D168" s="204">
        <v>118522.5</v>
      </c>
      <c r="E168" s="204">
        <v>173231</v>
      </c>
      <c r="F168" s="132">
        <f t="shared" si="20"/>
        <v>-0.31581241232804752</v>
      </c>
      <c r="G168" s="215">
        <f t="shared" si="21"/>
        <v>0.18046024614063483</v>
      </c>
      <c r="H168" s="123"/>
    </row>
    <row r="169" spans="1:8" ht="15.75" x14ac:dyDescent="0.25">
      <c r="A169" s="130"/>
      <c r="B169" s="131">
        <f>DATE(2019,5,1)</f>
        <v>43586</v>
      </c>
      <c r="C169" s="204">
        <v>548280</v>
      </c>
      <c r="D169" s="204">
        <v>159870.5</v>
      </c>
      <c r="E169" s="204">
        <v>155438.5</v>
      </c>
      <c r="F169" s="132">
        <f t="shared" si="20"/>
        <v>2.8512884517027635E-2</v>
      </c>
      <c r="G169" s="215">
        <f t="shared" si="21"/>
        <v>0.29158550375720432</v>
      </c>
      <c r="H169" s="123"/>
    </row>
    <row r="170" spans="1:8" ht="15.75" x14ac:dyDescent="0.25">
      <c r="A170" s="130"/>
      <c r="B170" s="131">
        <f>DATE(2019,6,1)</f>
        <v>43617</v>
      </c>
      <c r="C170" s="204">
        <v>585685</v>
      </c>
      <c r="D170" s="204">
        <v>106456.5</v>
      </c>
      <c r="E170" s="204">
        <v>150462</v>
      </c>
      <c r="F170" s="132">
        <f t="shared" si="20"/>
        <v>-0.2924691948797703</v>
      </c>
      <c r="G170" s="215">
        <f t="shared" si="21"/>
        <v>0.18176408820441023</v>
      </c>
      <c r="H170" s="123"/>
    </row>
    <row r="171" spans="1:8" ht="15.75" thickBot="1" x14ac:dyDescent="0.25">
      <c r="A171" s="133"/>
      <c r="B171" s="134"/>
      <c r="C171" s="204"/>
      <c r="D171" s="204"/>
      <c r="E171" s="204"/>
      <c r="F171" s="132"/>
      <c r="G171" s="215"/>
      <c r="H171" s="123"/>
    </row>
    <row r="172" spans="1:8" ht="17.25" thickTop="1" thickBot="1" x14ac:dyDescent="0.3">
      <c r="A172" s="144" t="s">
        <v>14</v>
      </c>
      <c r="B172" s="145"/>
      <c r="C172" s="207">
        <f>SUM(C159:C171)</f>
        <v>7448746.5</v>
      </c>
      <c r="D172" s="207">
        <f>SUM(D159:D171)</f>
        <v>1897695.5</v>
      </c>
      <c r="E172" s="207">
        <f>SUM(E159:E171)</f>
        <v>1981924</v>
      </c>
      <c r="F172" s="143">
        <f>(+D172-E172)/E172</f>
        <v>-4.2498350088096215E-2</v>
      </c>
      <c r="G172" s="217">
        <f>D172/C172</f>
        <v>0.25476709403387537</v>
      </c>
      <c r="H172" s="123"/>
    </row>
    <row r="173" spans="1:8" ht="15.75" customHeight="1" thickTop="1" x14ac:dyDescent="0.25">
      <c r="A173" s="130"/>
      <c r="B173" s="134"/>
      <c r="C173" s="204"/>
      <c r="D173" s="204"/>
      <c r="E173" s="204"/>
      <c r="F173" s="132"/>
      <c r="G173" s="218"/>
      <c r="H173" s="123"/>
    </row>
    <row r="174" spans="1:8" ht="15.75" x14ac:dyDescent="0.25">
      <c r="A174" s="130" t="s">
        <v>40</v>
      </c>
      <c r="B174" s="131">
        <f>DATE(2018,7,1)</f>
        <v>43282</v>
      </c>
      <c r="C174" s="204">
        <v>18395528</v>
      </c>
      <c r="D174" s="204">
        <v>4013253.36</v>
      </c>
      <c r="E174" s="204">
        <v>3485005.33</v>
      </c>
      <c r="F174" s="132">
        <f t="shared" ref="F174:F185" si="22">(+D174-E174)/E174</f>
        <v>0.15157739514848886</v>
      </c>
      <c r="G174" s="215">
        <f t="shared" ref="G174:G185" si="23">D174/C174</f>
        <v>0.21816461914004315</v>
      </c>
      <c r="H174" s="123"/>
    </row>
    <row r="175" spans="1:8" ht="15.75" x14ac:dyDescent="0.25">
      <c r="A175" s="130"/>
      <c r="B175" s="131">
        <f>DATE(2018,8,1)</f>
        <v>43313</v>
      </c>
      <c r="C175" s="204">
        <v>18105989</v>
      </c>
      <c r="D175" s="204">
        <v>4154776.6</v>
      </c>
      <c r="E175" s="204">
        <v>2756152.9</v>
      </c>
      <c r="F175" s="132">
        <f t="shared" si="22"/>
        <v>0.50745504721454326</v>
      </c>
      <c r="G175" s="215">
        <f t="shared" si="23"/>
        <v>0.22946974064769399</v>
      </c>
      <c r="H175" s="123"/>
    </row>
    <row r="176" spans="1:8" ht="15.75" x14ac:dyDescent="0.25">
      <c r="A176" s="130"/>
      <c r="B176" s="131">
        <f>DATE(2018,9,1)</f>
        <v>43344</v>
      </c>
      <c r="C176" s="204">
        <v>15238679</v>
      </c>
      <c r="D176" s="204">
        <v>3317290.2</v>
      </c>
      <c r="E176" s="204">
        <v>3555670.84</v>
      </c>
      <c r="F176" s="132">
        <f t="shared" si="22"/>
        <v>-6.7042381234591358E-2</v>
      </c>
      <c r="G176" s="215">
        <f t="shared" si="23"/>
        <v>0.2176888298519839</v>
      </c>
      <c r="H176" s="123"/>
    </row>
    <row r="177" spans="1:8" ht="15.75" x14ac:dyDescent="0.25">
      <c r="A177" s="130"/>
      <c r="B177" s="131">
        <f>DATE(2018,10,1)</f>
        <v>43374</v>
      </c>
      <c r="C177" s="204">
        <v>14568891</v>
      </c>
      <c r="D177" s="204">
        <v>3010473</v>
      </c>
      <c r="E177" s="204">
        <v>3109647.95</v>
      </c>
      <c r="F177" s="132">
        <f t="shared" si="22"/>
        <v>-3.1892661675737337E-2</v>
      </c>
      <c r="G177" s="215">
        <f t="shared" si="23"/>
        <v>0.20663707347388349</v>
      </c>
      <c r="H177" s="123"/>
    </row>
    <row r="178" spans="1:8" ht="15.75" x14ac:dyDescent="0.25">
      <c r="A178" s="130"/>
      <c r="B178" s="131">
        <f>DATE(2018,11,1)</f>
        <v>43405</v>
      </c>
      <c r="C178" s="204">
        <v>15484724</v>
      </c>
      <c r="D178" s="204">
        <v>3636412.28</v>
      </c>
      <c r="E178" s="204">
        <v>3185542.02</v>
      </c>
      <c r="F178" s="132">
        <f t="shared" si="22"/>
        <v>0.14153643466928739</v>
      </c>
      <c r="G178" s="215">
        <f t="shared" si="23"/>
        <v>0.23483868876190495</v>
      </c>
      <c r="H178" s="123"/>
    </row>
    <row r="179" spans="1:8" ht="15.75" x14ac:dyDescent="0.25">
      <c r="A179" s="130"/>
      <c r="B179" s="131">
        <f>DATE(2018,12,1)</f>
        <v>43435</v>
      </c>
      <c r="C179" s="204">
        <v>17368026</v>
      </c>
      <c r="D179" s="204">
        <v>3158388.6</v>
      </c>
      <c r="E179" s="204">
        <v>3702278.99</v>
      </c>
      <c r="F179" s="132">
        <f t="shared" si="22"/>
        <v>-0.14690691638017267</v>
      </c>
      <c r="G179" s="215">
        <f t="shared" si="23"/>
        <v>0.18185075264166464</v>
      </c>
      <c r="H179" s="123"/>
    </row>
    <row r="180" spans="1:8" ht="15.75" x14ac:dyDescent="0.25">
      <c r="A180" s="130"/>
      <c r="B180" s="131">
        <f>DATE(2019,1,1)</f>
        <v>43466</v>
      </c>
      <c r="C180" s="204">
        <v>14705779</v>
      </c>
      <c r="D180" s="204">
        <v>3469211.92</v>
      </c>
      <c r="E180" s="204">
        <v>3099858.41</v>
      </c>
      <c r="F180" s="132">
        <f t="shared" si="22"/>
        <v>0.11915173570782536</v>
      </c>
      <c r="G180" s="215">
        <f t="shared" si="23"/>
        <v>0.23590806852190557</v>
      </c>
      <c r="H180" s="123"/>
    </row>
    <row r="181" spans="1:8" ht="15.75" x14ac:dyDescent="0.25">
      <c r="A181" s="130"/>
      <c r="B181" s="131">
        <f>DATE(2019,2,1)</f>
        <v>43497</v>
      </c>
      <c r="C181" s="204">
        <v>15048855</v>
      </c>
      <c r="D181" s="204">
        <v>3743256.73</v>
      </c>
      <c r="E181" s="204">
        <v>2395621.25</v>
      </c>
      <c r="F181" s="132">
        <f t="shared" si="22"/>
        <v>0.56254112790158295</v>
      </c>
      <c r="G181" s="215">
        <f t="shared" si="23"/>
        <v>0.24874030150466597</v>
      </c>
      <c r="H181" s="123"/>
    </row>
    <row r="182" spans="1:8" ht="15.75" x14ac:dyDescent="0.25">
      <c r="A182" s="130"/>
      <c r="B182" s="131">
        <f>DATE(2019,3,1)</f>
        <v>43525</v>
      </c>
      <c r="C182" s="204">
        <v>19114804</v>
      </c>
      <c r="D182" s="204">
        <v>3921104.66</v>
      </c>
      <c r="E182" s="204">
        <v>3826628.2</v>
      </c>
      <c r="F182" s="132">
        <f t="shared" si="22"/>
        <v>2.4689218565838184E-2</v>
      </c>
      <c r="G182" s="215">
        <f t="shared" si="23"/>
        <v>0.20513444239344542</v>
      </c>
      <c r="H182" s="123"/>
    </row>
    <row r="183" spans="1:8" ht="15.75" x14ac:dyDescent="0.25">
      <c r="A183" s="130"/>
      <c r="B183" s="131">
        <f>DATE(2019,4,1)</f>
        <v>43556</v>
      </c>
      <c r="C183" s="204">
        <v>17660834</v>
      </c>
      <c r="D183" s="204">
        <v>3566339.1</v>
      </c>
      <c r="E183" s="204">
        <v>3175407.88</v>
      </c>
      <c r="F183" s="132">
        <f t="shared" si="22"/>
        <v>0.12311212756705769</v>
      </c>
      <c r="G183" s="215">
        <f t="shared" si="23"/>
        <v>0.20193491994772161</v>
      </c>
      <c r="H183" s="123"/>
    </row>
    <row r="184" spans="1:8" ht="15.75" x14ac:dyDescent="0.25">
      <c r="A184" s="130"/>
      <c r="B184" s="131">
        <f>DATE(2019,5,1)</f>
        <v>43586</v>
      </c>
      <c r="C184" s="204">
        <v>19616523</v>
      </c>
      <c r="D184" s="204">
        <v>3761299.71</v>
      </c>
      <c r="E184" s="204">
        <v>2998661.17</v>
      </c>
      <c r="F184" s="132">
        <f t="shared" si="22"/>
        <v>0.25432634658086428</v>
      </c>
      <c r="G184" s="215">
        <f t="shared" si="23"/>
        <v>0.1917414064663753</v>
      </c>
      <c r="H184" s="123"/>
    </row>
    <row r="185" spans="1:8" ht="15.75" x14ac:dyDescent="0.25">
      <c r="A185" s="130"/>
      <c r="B185" s="131">
        <f>DATE(2019,6,1)</f>
        <v>43617</v>
      </c>
      <c r="C185" s="204">
        <v>18514051</v>
      </c>
      <c r="D185" s="204">
        <v>4467735.0199999996</v>
      </c>
      <c r="E185" s="204">
        <v>2794491.32</v>
      </c>
      <c r="F185" s="132">
        <f t="shared" si="22"/>
        <v>0.59876503749526755</v>
      </c>
      <c r="G185" s="215">
        <f t="shared" si="23"/>
        <v>0.2413159075774394</v>
      </c>
      <c r="H185" s="123"/>
    </row>
    <row r="186" spans="1:8" ht="15.75" thickBot="1" x14ac:dyDescent="0.25">
      <c r="A186" s="133"/>
      <c r="B186" s="134"/>
      <c r="C186" s="204"/>
      <c r="D186" s="204"/>
      <c r="E186" s="204"/>
      <c r="F186" s="132"/>
      <c r="G186" s="215"/>
      <c r="H186" s="123"/>
    </row>
    <row r="187" spans="1:8" ht="17.25" thickTop="1" thickBot="1" x14ac:dyDescent="0.3">
      <c r="A187" s="141" t="s">
        <v>14</v>
      </c>
      <c r="B187" s="142"/>
      <c r="C187" s="206">
        <f>SUM(C174:C186)</f>
        <v>203822683</v>
      </c>
      <c r="D187" s="207">
        <f>SUM(D174:D186)</f>
        <v>44219541.180000007</v>
      </c>
      <c r="E187" s="206">
        <f>SUM(E174:E186)</f>
        <v>38084966.259999998</v>
      </c>
      <c r="F187" s="143">
        <f>(+D187-E187)/E187</f>
        <v>0.16107602349232092</v>
      </c>
      <c r="G187" s="217">
        <f>D187/C187</f>
        <v>0.21695103081338601</v>
      </c>
      <c r="H187" s="123"/>
    </row>
    <row r="188" spans="1:8" ht="15.75" customHeight="1" thickTop="1" x14ac:dyDescent="0.25">
      <c r="A188" s="130"/>
      <c r="B188" s="134"/>
      <c r="C188" s="204"/>
      <c r="D188" s="204"/>
      <c r="E188" s="204"/>
      <c r="F188" s="132"/>
      <c r="G188" s="218"/>
      <c r="H188" s="123"/>
    </row>
    <row r="189" spans="1:8" ht="15.75" x14ac:dyDescent="0.25">
      <c r="A189" s="130" t="s">
        <v>64</v>
      </c>
      <c r="B189" s="131">
        <f>DATE(2018,7,1)</f>
        <v>43282</v>
      </c>
      <c r="C189" s="204">
        <v>835189</v>
      </c>
      <c r="D189" s="204">
        <v>171143.5</v>
      </c>
      <c r="E189" s="204">
        <v>283672</v>
      </c>
      <c r="F189" s="132">
        <f t="shared" ref="F189:F200" si="24">(+D189-E189)/E189</f>
        <v>-0.39668525621139911</v>
      </c>
      <c r="G189" s="215">
        <f t="shared" ref="G189:G200" si="25">D189/C189</f>
        <v>0.20491589328882445</v>
      </c>
      <c r="H189" s="123"/>
    </row>
    <row r="190" spans="1:8" ht="15.75" x14ac:dyDescent="0.25">
      <c r="A190" s="130"/>
      <c r="B190" s="131">
        <f>DATE(2018,8,1)</f>
        <v>43313</v>
      </c>
      <c r="C190" s="204">
        <v>795370</v>
      </c>
      <c r="D190" s="204">
        <v>217353.5</v>
      </c>
      <c r="E190" s="204">
        <v>213515</v>
      </c>
      <c r="F190" s="132">
        <f t="shared" si="24"/>
        <v>1.7977659649204975E-2</v>
      </c>
      <c r="G190" s="215">
        <f t="shared" si="25"/>
        <v>0.27327344506330387</v>
      </c>
      <c r="H190" s="123"/>
    </row>
    <row r="191" spans="1:8" ht="15.75" x14ac:dyDescent="0.25">
      <c r="A191" s="130"/>
      <c r="B191" s="131">
        <f>DATE(2018,9,1)</f>
        <v>43344</v>
      </c>
      <c r="C191" s="204">
        <v>769718</v>
      </c>
      <c r="D191" s="204">
        <v>169120</v>
      </c>
      <c r="E191" s="204">
        <v>213772.5</v>
      </c>
      <c r="F191" s="132">
        <f t="shared" si="24"/>
        <v>-0.20887859757452432</v>
      </c>
      <c r="G191" s="215">
        <f t="shared" si="25"/>
        <v>0.21971683135901721</v>
      </c>
      <c r="H191" s="123"/>
    </row>
    <row r="192" spans="1:8" ht="15.75" x14ac:dyDescent="0.25">
      <c r="A192" s="130"/>
      <c r="B192" s="131">
        <f>DATE(2018,10,1)</f>
        <v>43374</v>
      </c>
      <c r="C192" s="204">
        <v>707919</v>
      </c>
      <c r="D192" s="204">
        <v>142213.5</v>
      </c>
      <c r="E192" s="204">
        <v>244828.5</v>
      </c>
      <c r="F192" s="132">
        <f t="shared" si="24"/>
        <v>-0.41913012578192488</v>
      </c>
      <c r="G192" s="215">
        <f t="shared" si="25"/>
        <v>0.20088950854546919</v>
      </c>
      <c r="H192" s="123"/>
    </row>
    <row r="193" spans="1:8" ht="15.75" x14ac:dyDescent="0.25">
      <c r="A193" s="130"/>
      <c r="B193" s="131">
        <f>DATE(2018,11,1)</f>
        <v>43405</v>
      </c>
      <c r="C193" s="204">
        <v>684493</v>
      </c>
      <c r="D193" s="204">
        <v>170858.5</v>
      </c>
      <c r="E193" s="204">
        <v>214514.5</v>
      </c>
      <c r="F193" s="132">
        <f t="shared" si="24"/>
        <v>-0.20351071838966597</v>
      </c>
      <c r="G193" s="215">
        <f t="shared" si="25"/>
        <v>0.2496132173740272</v>
      </c>
      <c r="H193" s="123"/>
    </row>
    <row r="194" spans="1:8" ht="15.75" x14ac:dyDescent="0.25">
      <c r="A194" s="130"/>
      <c r="B194" s="131">
        <f>DATE(2018,12,1)</f>
        <v>43435</v>
      </c>
      <c r="C194" s="204">
        <v>823658</v>
      </c>
      <c r="D194" s="204">
        <v>191894</v>
      </c>
      <c r="E194" s="204">
        <v>251086</v>
      </c>
      <c r="F194" s="132">
        <f t="shared" si="24"/>
        <v>-0.23574392837513841</v>
      </c>
      <c r="G194" s="215">
        <f t="shared" si="25"/>
        <v>0.23297776504325823</v>
      </c>
      <c r="H194" s="123"/>
    </row>
    <row r="195" spans="1:8" ht="15.75" x14ac:dyDescent="0.25">
      <c r="A195" s="130"/>
      <c r="B195" s="131">
        <f>DATE(2019,1,1)</f>
        <v>43466</v>
      </c>
      <c r="C195" s="204">
        <v>677788</v>
      </c>
      <c r="D195" s="204">
        <v>225159.5</v>
      </c>
      <c r="E195" s="204">
        <v>161802.5</v>
      </c>
      <c r="F195" s="132">
        <f t="shared" si="24"/>
        <v>0.39156996956165696</v>
      </c>
      <c r="G195" s="215">
        <f t="shared" si="25"/>
        <v>0.3321975307913389</v>
      </c>
      <c r="H195" s="123"/>
    </row>
    <row r="196" spans="1:8" ht="15.75" x14ac:dyDescent="0.25">
      <c r="A196" s="130"/>
      <c r="B196" s="131">
        <f>DATE(2019,2,1)</f>
        <v>43497</v>
      </c>
      <c r="C196" s="204">
        <v>688470</v>
      </c>
      <c r="D196" s="204">
        <v>203977</v>
      </c>
      <c r="E196" s="204">
        <v>227252.5</v>
      </c>
      <c r="F196" s="132">
        <f t="shared" si="24"/>
        <v>-0.10242131549707924</v>
      </c>
      <c r="G196" s="215">
        <f t="shared" si="25"/>
        <v>0.29627579996223508</v>
      </c>
      <c r="H196" s="123"/>
    </row>
    <row r="197" spans="1:8" ht="15.75" x14ac:dyDescent="0.25">
      <c r="A197" s="130"/>
      <c r="B197" s="131">
        <f>DATE(2019,3,1)</f>
        <v>43525</v>
      </c>
      <c r="C197" s="204">
        <v>409378</v>
      </c>
      <c r="D197" s="204">
        <v>120427</v>
      </c>
      <c r="E197" s="204">
        <v>241108.5</v>
      </c>
      <c r="F197" s="132">
        <f t="shared" si="24"/>
        <v>-0.50052777069244758</v>
      </c>
      <c r="G197" s="215">
        <f t="shared" si="25"/>
        <v>0.29417066867296238</v>
      </c>
      <c r="H197" s="123"/>
    </row>
    <row r="198" spans="1:8" ht="15.75" x14ac:dyDescent="0.25">
      <c r="A198" s="130"/>
      <c r="B198" s="131">
        <f>DATE(2019,4,1)</f>
        <v>43556</v>
      </c>
      <c r="C198" s="204">
        <v>239443</v>
      </c>
      <c r="D198" s="204">
        <v>73859.5</v>
      </c>
      <c r="E198" s="204">
        <v>268633</v>
      </c>
      <c r="F198" s="132">
        <f t="shared" si="24"/>
        <v>-0.72505425617850372</v>
      </c>
      <c r="G198" s="215">
        <f t="shared" si="25"/>
        <v>0.30846380975848114</v>
      </c>
      <c r="H198" s="123"/>
    </row>
    <row r="199" spans="1:8" ht="15.75" x14ac:dyDescent="0.25">
      <c r="A199" s="130"/>
      <c r="B199" s="131">
        <f>DATE(2019,5,1)</f>
        <v>43586</v>
      </c>
      <c r="C199" s="204">
        <v>553478</v>
      </c>
      <c r="D199" s="204">
        <v>155292.5</v>
      </c>
      <c r="E199" s="204">
        <v>193846.5</v>
      </c>
      <c r="F199" s="132">
        <f t="shared" si="24"/>
        <v>-0.19888932738016937</v>
      </c>
      <c r="G199" s="215">
        <f t="shared" si="25"/>
        <v>0.28057574104119765</v>
      </c>
      <c r="H199" s="123"/>
    </row>
    <row r="200" spans="1:8" ht="15.75" x14ac:dyDescent="0.25">
      <c r="A200" s="130"/>
      <c r="B200" s="131">
        <f>DATE(2019,6,1)</f>
        <v>43617</v>
      </c>
      <c r="C200" s="204">
        <v>517836</v>
      </c>
      <c r="D200" s="204">
        <v>135823</v>
      </c>
      <c r="E200" s="204">
        <v>232059</v>
      </c>
      <c r="F200" s="132">
        <f t="shared" si="24"/>
        <v>-0.41470488108627546</v>
      </c>
      <c r="G200" s="215">
        <f t="shared" si="25"/>
        <v>0.26228960520319172</v>
      </c>
      <c r="H200" s="123"/>
    </row>
    <row r="201" spans="1:8" ht="15.75" thickBot="1" x14ac:dyDescent="0.25">
      <c r="A201" s="133"/>
      <c r="B201" s="134"/>
      <c r="C201" s="204"/>
      <c r="D201" s="204"/>
      <c r="E201" s="204"/>
      <c r="F201" s="132"/>
      <c r="G201" s="215"/>
      <c r="H201" s="123"/>
    </row>
    <row r="202" spans="1:8" ht="17.25" thickTop="1" thickBot="1" x14ac:dyDescent="0.3">
      <c r="A202" s="135" t="s">
        <v>14</v>
      </c>
      <c r="B202" s="136"/>
      <c r="C202" s="201">
        <f>SUM(C189:C201)</f>
        <v>7702740</v>
      </c>
      <c r="D202" s="207">
        <f>SUM(D189:D201)</f>
        <v>1977121.5</v>
      </c>
      <c r="E202" s="207">
        <f>SUM(E189:E201)</f>
        <v>2746090.5</v>
      </c>
      <c r="F202" s="143">
        <f>(+D202-E202)/E202</f>
        <v>-0.28002318204735061</v>
      </c>
      <c r="G202" s="217">
        <f>D202/C202</f>
        <v>0.25667768871855989</v>
      </c>
      <c r="H202" s="123"/>
    </row>
    <row r="203" spans="1:8" ht="16.5" thickTop="1" thickBot="1" x14ac:dyDescent="0.25">
      <c r="A203" s="146"/>
      <c r="B203" s="139"/>
      <c r="C203" s="205"/>
      <c r="D203" s="205"/>
      <c r="E203" s="205"/>
      <c r="F203" s="140"/>
      <c r="G203" s="216"/>
      <c r="H203" s="123"/>
    </row>
    <row r="204" spans="1:8" ht="17.25" thickTop="1" thickBot="1" x14ac:dyDescent="0.3">
      <c r="A204" s="147" t="s">
        <v>41</v>
      </c>
      <c r="B204" s="121"/>
      <c r="C204" s="201">
        <f>C202+C187+C142+C112+C82+C52+C22+C67+C172+C37+C127+C157+C97</f>
        <v>1255959365.8900001</v>
      </c>
      <c r="D204" s="201">
        <f>D202+D187+D142+D112+D82+D52+D22+D67+D172+D37+D127+D157+D97</f>
        <v>261280476.38999999</v>
      </c>
      <c r="E204" s="201">
        <f>E202+E187+E142+E112+E82+E52+E22+E67+E172+E37+E127+E157+E97</f>
        <v>247783714.10999998</v>
      </c>
      <c r="F204" s="137">
        <f>(+D204-E204)/E204</f>
        <v>5.4469932894816123E-2</v>
      </c>
      <c r="G204" s="212">
        <f>D204/C204</f>
        <v>0.20803258726833965</v>
      </c>
      <c r="H204" s="123"/>
    </row>
    <row r="205" spans="1:8" ht="17.25" thickTop="1" thickBot="1" x14ac:dyDescent="0.3">
      <c r="A205" s="147"/>
      <c r="B205" s="121"/>
      <c r="C205" s="201"/>
      <c r="D205" s="201"/>
      <c r="E205" s="201"/>
      <c r="F205" s="137"/>
      <c r="G205" s="212"/>
      <c r="H205" s="123"/>
    </row>
    <row r="206" spans="1:8" ht="17.25" thickTop="1" thickBot="1" x14ac:dyDescent="0.3">
      <c r="A206" s="265" t="s">
        <v>42</v>
      </c>
      <c r="B206" s="266"/>
      <c r="C206" s="206">
        <f>+C20+C35+C50+C65+C80+C95+C110+C125+C140+C155+C170+C185+C200</f>
        <v>100279034.5</v>
      </c>
      <c r="D206" s="206">
        <f>+D20+D35+D50+D65+D80+D95+D110+D125+D140+D155+D170+D185+D200</f>
        <v>20810550.420000002</v>
      </c>
      <c r="E206" s="206">
        <f>+E20+E35+E50+E65+E80+E95+E110+E125+E140+E155+E170+E185+E200</f>
        <v>20336591.280000001</v>
      </c>
      <c r="F206" s="143">
        <f>(+D206-E206)/E206</f>
        <v>2.3305731696841209E-2</v>
      </c>
      <c r="G206" s="217">
        <f>D206/C206</f>
        <v>0.20752643385293065</v>
      </c>
      <c r="H206" s="123"/>
    </row>
    <row r="207" spans="1:8" ht="16.5" thickTop="1" x14ac:dyDescent="0.25">
      <c r="A207" s="256"/>
      <c r="B207" s="258"/>
      <c r="C207" s="259"/>
      <c r="D207" s="259"/>
      <c r="E207" s="259"/>
      <c r="F207" s="260"/>
      <c r="G207" s="257"/>
      <c r="H207" s="257"/>
    </row>
    <row r="208" spans="1:8" ht="18.75" x14ac:dyDescent="0.3">
      <c r="A208" s="263" t="s">
        <v>43</v>
      </c>
      <c r="B208" s="117"/>
      <c r="C208" s="208"/>
      <c r="D208" s="208"/>
      <c r="E208" s="208"/>
      <c r="F208" s="148"/>
      <c r="G208" s="220"/>
    </row>
    <row r="209" spans="1:1" ht="15.75" x14ac:dyDescent="0.25">
      <c r="A209" s="72"/>
    </row>
  </sheetData>
  <phoneticPr fontId="0" type="noConversion"/>
  <printOptions horizontalCentered="1"/>
  <pageMargins left="0.45" right="0.25" top="0.31944444444444398" bottom="0.2" header="0.5" footer="0.5"/>
  <pageSetup scale="66" orientation="landscape" r:id="rId1"/>
  <headerFooter alignWithMargins="0"/>
  <rowBreaks count="4" manualBreakCount="4">
    <brk id="52" max="7" man="1"/>
    <brk id="97" max="7" man="1"/>
    <brk id="142" max="7" man="1"/>
    <brk id="18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211"/>
  <sheetViews>
    <sheetView showOutlineSymbols="0" zoomScaleNormal="100" workbookViewId="0">
      <selection activeCell="A6" sqref="A6"/>
    </sheetView>
  </sheetViews>
  <sheetFormatPr defaultColWidth="9.6640625" defaultRowHeight="15" x14ac:dyDescent="0.2"/>
  <cols>
    <col min="1" max="1" width="27.6640625" style="152" customWidth="1"/>
    <col min="2" max="2" width="9.6640625" style="152" customWidth="1"/>
    <col min="3" max="3" width="18.33203125" style="233" customWidth="1"/>
    <col min="4" max="4" width="16.44140625" style="233" customWidth="1"/>
    <col min="5" max="5" width="15.5546875" style="233" customWidth="1"/>
    <col min="6" max="6" width="9.6640625" style="152" customWidth="1"/>
    <col min="7" max="7" width="9.6640625" style="252" customWidth="1"/>
    <col min="8" max="8" width="10.88671875" style="252" customWidth="1"/>
    <col min="9" max="9" width="1.6640625" style="152" customWidth="1"/>
    <col min="10" max="16384" width="9.6640625" style="152"/>
  </cols>
  <sheetData>
    <row r="1" spans="1:9" ht="18" x14ac:dyDescent="0.25">
      <c r="A1" s="149" t="s">
        <v>0</v>
      </c>
      <c r="B1" s="150"/>
      <c r="C1" s="222"/>
      <c r="D1" s="222"/>
      <c r="E1" s="222"/>
      <c r="F1" s="150"/>
      <c r="G1" s="234"/>
      <c r="H1" s="234"/>
      <c r="I1" s="151"/>
    </row>
    <row r="2" spans="1:9" ht="18.75" x14ac:dyDescent="0.3">
      <c r="A2" s="153" t="s">
        <v>44</v>
      </c>
      <c r="B2" s="150"/>
      <c r="C2" s="222"/>
      <c r="D2" s="222"/>
      <c r="E2" s="222"/>
      <c r="F2" s="150"/>
      <c r="G2" s="234"/>
      <c r="H2" s="234"/>
      <c r="I2" s="151"/>
    </row>
    <row r="3" spans="1:9" ht="18" x14ac:dyDescent="0.25">
      <c r="A3" s="149" t="s">
        <v>45</v>
      </c>
      <c r="B3" s="150"/>
      <c r="C3" s="222"/>
      <c r="D3" s="222"/>
      <c r="E3" s="222"/>
      <c r="F3" s="150"/>
      <c r="G3" s="234"/>
      <c r="H3" s="234"/>
      <c r="I3" s="151"/>
    </row>
    <row r="4" spans="1:9" ht="18" x14ac:dyDescent="0.25">
      <c r="A4" s="285" t="s">
        <v>74</v>
      </c>
      <c r="B4" s="150"/>
      <c r="C4" s="222"/>
      <c r="D4" s="222"/>
      <c r="E4" s="222"/>
      <c r="F4" s="150"/>
      <c r="G4" s="234"/>
      <c r="H4" s="234"/>
      <c r="I4" s="151"/>
    </row>
    <row r="5" spans="1:9" x14ac:dyDescent="0.2">
      <c r="A5" s="286" t="s">
        <v>70</v>
      </c>
      <c r="B5" s="150"/>
      <c r="C5" s="222"/>
      <c r="D5" s="222"/>
      <c r="E5" s="222"/>
      <c r="F5" s="150"/>
      <c r="G5" s="234"/>
      <c r="H5" s="234"/>
      <c r="I5" s="151"/>
    </row>
    <row r="6" spans="1:9" ht="16.5" thickBot="1" x14ac:dyDescent="0.3">
      <c r="A6" s="150"/>
      <c r="B6" s="150"/>
      <c r="C6" s="222"/>
      <c r="D6" s="222"/>
      <c r="E6" s="222"/>
      <c r="F6" s="150"/>
      <c r="G6" s="235" t="s">
        <v>46</v>
      </c>
      <c r="H6" s="235"/>
      <c r="I6" s="151"/>
    </row>
    <row r="7" spans="1:9" ht="16.5" thickTop="1" x14ac:dyDescent="0.25">
      <c r="A7" s="154"/>
      <c r="B7" s="155" t="s">
        <v>2</v>
      </c>
      <c r="C7" s="223" t="s">
        <v>47</v>
      </c>
      <c r="D7" s="223" t="s">
        <v>33</v>
      </c>
      <c r="E7" s="223" t="s">
        <v>3</v>
      </c>
      <c r="F7" s="156"/>
      <c r="G7" s="236" t="s">
        <v>34</v>
      </c>
      <c r="H7" s="253" t="s">
        <v>34</v>
      </c>
      <c r="I7" s="157"/>
    </row>
    <row r="8" spans="1:9" ht="16.5" thickBot="1" x14ac:dyDescent="0.3">
      <c r="A8" s="158" t="s">
        <v>5</v>
      </c>
      <c r="B8" s="159" t="s">
        <v>6</v>
      </c>
      <c r="C8" s="224" t="s">
        <v>48</v>
      </c>
      <c r="D8" s="224" t="s">
        <v>49</v>
      </c>
      <c r="E8" s="224" t="s">
        <v>49</v>
      </c>
      <c r="F8" s="160" t="s">
        <v>8</v>
      </c>
      <c r="G8" s="238" t="s">
        <v>37</v>
      </c>
      <c r="H8" s="254" t="s">
        <v>50</v>
      </c>
      <c r="I8" s="157"/>
    </row>
    <row r="9" spans="1:9" ht="15.75" customHeight="1" thickTop="1" x14ac:dyDescent="0.25">
      <c r="A9" s="161"/>
      <c r="B9" s="162"/>
      <c r="C9" s="225"/>
      <c r="D9" s="225"/>
      <c r="E9" s="225"/>
      <c r="F9" s="163"/>
      <c r="G9" s="239"/>
      <c r="H9" s="240"/>
      <c r="I9" s="157"/>
    </row>
    <row r="10" spans="1:9" ht="15.75" x14ac:dyDescent="0.25">
      <c r="A10" s="164" t="s">
        <v>38</v>
      </c>
      <c r="B10" s="165">
        <f>DATE(18,7,1)</f>
        <v>6757</v>
      </c>
      <c r="C10" s="226">
        <v>116623713.70999999</v>
      </c>
      <c r="D10" s="226">
        <v>11548721.09</v>
      </c>
      <c r="E10" s="226">
        <v>12399454.65</v>
      </c>
      <c r="F10" s="166">
        <f t="shared" ref="F10:F21" si="0">(+D10-E10)/E10</f>
        <v>-6.8610562642769171E-2</v>
      </c>
      <c r="G10" s="241">
        <f t="shared" ref="G10:G21" si="1">D10/C10</f>
        <v>9.9025495952884804E-2</v>
      </c>
      <c r="H10" s="242">
        <f t="shared" ref="H10:H21" si="2">1-G10</f>
        <v>0.90097450404711521</v>
      </c>
      <c r="I10" s="157"/>
    </row>
    <row r="11" spans="1:9" ht="15.75" x14ac:dyDescent="0.25">
      <c r="A11" s="164"/>
      <c r="B11" s="165">
        <f>DATE(18,8,1)</f>
        <v>6788</v>
      </c>
      <c r="C11" s="226">
        <v>117765018.3</v>
      </c>
      <c r="D11" s="226">
        <v>12278666.34</v>
      </c>
      <c r="E11" s="226">
        <v>11441719.539999999</v>
      </c>
      <c r="F11" s="166">
        <f t="shared" si="0"/>
        <v>7.3148690375957323E-2</v>
      </c>
      <c r="G11" s="241">
        <f t="shared" si="1"/>
        <v>0.10426412288851994</v>
      </c>
      <c r="H11" s="242">
        <f t="shared" si="2"/>
        <v>0.89573587711148006</v>
      </c>
      <c r="I11" s="157"/>
    </row>
    <row r="12" spans="1:9" ht="15.75" x14ac:dyDescent="0.25">
      <c r="A12" s="164"/>
      <c r="B12" s="165">
        <f>DATE(18,9,1)</f>
        <v>6819</v>
      </c>
      <c r="C12" s="226">
        <v>114244738.3</v>
      </c>
      <c r="D12" s="226">
        <v>11479851.300000001</v>
      </c>
      <c r="E12" s="226">
        <v>11813160.59</v>
      </c>
      <c r="F12" s="166">
        <f t="shared" si="0"/>
        <v>-2.8215081599936086E-2</v>
      </c>
      <c r="G12" s="241">
        <f t="shared" si="1"/>
        <v>0.10048472665633477</v>
      </c>
      <c r="H12" s="242">
        <f t="shared" si="2"/>
        <v>0.89951527334366521</v>
      </c>
      <c r="I12" s="157"/>
    </row>
    <row r="13" spans="1:9" ht="15.75" x14ac:dyDescent="0.25">
      <c r="A13" s="164"/>
      <c r="B13" s="165">
        <f>DATE(18,10,1)</f>
        <v>6849</v>
      </c>
      <c r="C13" s="226">
        <v>118499471.81999999</v>
      </c>
      <c r="D13" s="226">
        <v>11766741.380000001</v>
      </c>
      <c r="E13" s="226">
        <v>11558139.689999999</v>
      </c>
      <c r="F13" s="166">
        <f t="shared" si="0"/>
        <v>1.8048033299033553E-2</v>
      </c>
      <c r="G13" s="241">
        <f t="shared" si="1"/>
        <v>9.9297838203647126E-2</v>
      </c>
      <c r="H13" s="242">
        <f t="shared" si="2"/>
        <v>0.90070216179635287</v>
      </c>
      <c r="I13" s="157"/>
    </row>
    <row r="14" spans="1:9" ht="15.75" x14ac:dyDescent="0.25">
      <c r="A14" s="164"/>
      <c r="B14" s="165">
        <f>DATE(18,11,1)</f>
        <v>6880</v>
      </c>
      <c r="C14" s="226">
        <v>109285129.77</v>
      </c>
      <c r="D14" s="226">
        <v>11316404.939999999</v>
      </c>
      <c r="E14" s="226">
        <v>11896579.67</v>
      </c>
      <c r="F14" s="166">
        <f t="shared" si="0"/>
        <v>-4.8768196077654681E-2</v>
      </c>
      <c r="G14" s="241">
        <f t="shared" si="1"/>
        <v>0.10354935720730123</v>
      </c>
      <c r="H14" s="242">
        <f t="shared" si="2"/>
        <v>0.89645064279269882</v>
      </c>
      <c r="I14" s="157"/>
    </row>
    <row r="15" spans="1:9" ht="15.75" x14ac:dyDescent="0.25">
      <c r="A15" s="164"/>
      <c r="B15" s="165">
        <f>DATE(18,12,1)</f>
        <v>6910</v>
      </c>
      <c r="C15" s="226">
        <v>125344851.37</v>
      </c>
      <c r="D15" s="226">
        <v>12753886.49</v>
      </c>
      <c r="E15" s="226">
        <v>12607302.66</v>
      </c>
      <c r="F15" s="166">
        <f t="shared" si="0"/>
        <v>1.1626898627973453E-2</v>
      </c>
      <c r="G15" s="241">
        <f t="shared" si="1"/>
        <v>0.10175038185136427</v>
      </c>
      <c r="H15" s="242">
        <f t="shared" si="2"/>
        <v>0.89824961814863569</v>
      </c>
      <c r="I15" s="157"/>
    </row>
    <row r="16" spans="1:9" ht="15.75" x14ac:dyDescent="0.25">
      <c r="A16" s="164"/>
      <c r="B16" s="165">
        <f>DATE(19,1,1)</f>
        <v>6941</v>
      </c>
      <c r="C16" s="226">
        <v>102861347.3</v>
      </c>
      <c r="D16" s="226">
        <v>10438169.560000001</v>
      </c>
      <c r="E16" s="226">
        <v>10938098.369999999</v>
      </c>
      <c r="F16" s="166">
        <f t="shared" si="0"/>
        <v>-4.5705276464797301E-2</v>
      </c>
      <c r="G16" s="241">
        <f t="shared" si="1"/>
        <v>0.10147805598498126</v>
      </c>
      <c r="H16" s="242">
        <f t="shared" si="2"/>
        <v>0.89852194401501873</v>
      </c>
      <c r="I16" s="157"/>
    </row>
    <row r="17" spans="1:9" ht="15.75" x14ac:dyDescent="0.25">
      <c r="A17" s="164"/>
      <c r="B17" s="165">
        <f>DATE(19,2,1)</f>
        <v>6972</v>
      </c>
      <c r="C17" s="226">
        <v>105294414.88</v>
      </c>
      <c r="D17" s="226">
        <v>10577892.76</v>
      </c>
      <c r="E17" s="226">
        <v>11694255.24</v>
      </c>
      <c r="F17" s="166">
        <f t="shared" si="0"/>
        <v>-9.5462469143097001E-2</v>
      </c>
      <c r="G17" s="241">
        <f t="shared" si="1"/>
        <v>0.10046015044630068</v>
      </c>
      <c r="H17" s="242">
        <f t="shared" si="2"/>
        <v>0.89953984955369937</v>
      </c>
      <c r="I17" s="157"/>
    </row>
    <row r="18" spans="1:9" ht="15.75" x14ac:dyDescent="0.25">
      <c r="A18" s="164"/>
      <c r="B18" s="165">
        <f>DATE(19,3,1)</f>
        <v>7000</v>
      </c>
      <c r="C18" s="226">
        <v>132040916.5</v>
      </c>
      <c r="D18" s="226">
        <v>13564921.23</v>
      </c>
      <c r="E18" s="226">
        <v>13457679.789999999</v>
      </c>
      <c r="F18" s="166">
        <f t="shared" si="0"/>
        <v>7.9687911789734552E-3</v>
      </c>
      <c r="G18" s="241">
        <f t="shared" si="1"/>
        <v>0.10273271035649015</v>
      </c>
      <c r="H18" s="242">
        <f t="shared" si="2"/>
        <v>0.89726728964350988</v>
      </c>
      <c r="I18" s="157"/>
    </row>
    <row r="19" spans="1:9" ht="15.75" x14ac:dyDescent="0.25">
      <c r="A19" s="164"/>
      <c r="B19" s="165">
        <f>DATE(19,4,1)</f>
        <v>7031</v>
      </c>
      <c r="C19" s="226">
        <v>116530720.89</v>
      </c>
      <c r="D19" s="226">
        <v>11449311.67</v>
      </c>
      <c r="E19" s="226">
        <v>11957394.029999999</v>
      </c>
      <c r="F19" s="166">
        <f t="shared" si="0"/>
        <v>-4.2491061072777864E-2</v>
      </c>
      <c r="G19" s="241">
        <f t="shared" si="1"/>
        <v>9.8251444619549363E-2</v>
      </c>
      <c r="H19" s="242">
        <f t="shared" si="2"/>
        <v>0.90174855538045062</v>
      </c>
      <c r="I19" s="157"/>
    </row>
    <row r="20" spans="1:9" ht="15.75" x14ac:dyDescent="0.25">
      <c r="A20" s="164"/>
      <c r="B20" s="165">
        <f>DATE(19,5,1)</f>
        <v>7061</v>
      </c>
      <c r="C20" s="226">
        <v>125236619.98999999</v>
      </c>
      <c r="D20" s="226">
        <v>12624622.52</v>
      </c>
      <c r="E20" s="226">
        <v>11993236.17</v>
      </c>
      <c r="F20" s="166">
        <f t="shared" si="0"/>
        <v>5.2645202766819159E-2</v>
      </c>
      <c r="G20" s="241">
        <f t="shared" si="1"/>
        <v>0.10080615814294622</v>
      </c>
      <c r="H20" s="242">
        <f t="shared" si="2"/>
        <v>0.89919384185705376</v>
      </c>
      <c r="I20" s="157"/>
    </row>
    <row r="21" spans="1:9" ht="15.75" x14ac:dyDescent="0.25">
      <c r="A21" s="164"/>
      <c r="B21" s="165">
        <f>DATE(19,6,1)</f>
        <v>7092</v>
      </c>
      <c r="C21" s="226">
        <v>115851947.72</v>
      </c>
      <c r="D21" s="226">
        <v>11793902.32</v>
      </c>
      <c r="E21" s="226">
        <v>12158677.16</v>
      </c>
      <c r="F21" s="166">
        <f t="shared" si="0"/>
        <v>-3.0001194636538886E-2</v>
      </c>
      <c r="G21" s="241">
        <f t="shared" si="1"/>
        <v>0.1018015022803451</v>
      </c>
      <c r="H21" s="242">
        <f t="shared" si="2"/>
        <v>0.89819849771965488</v>
      </c>
      <c r="I21" s="157"/>
    </row>
    <row r="22" spans="1:9" ht="15.75" thickBot="1" x14ac:dyDescent="0.25">
      <c r="A22" s="167"/>
      <c r="B22" s="168"/>
      <c r="C22" s="226"/>
      <c r="D22" s="226"/>
      <c r="E22" s="226"/>
      <c r="F22" s="166"/>
      <c r="G22" s="241"/>
      <c r="H22" s="242"/>
      <c r="I22" s="157"/>
    </row>
    <row r="23" spans="1:9" ht="17.25" thickTop="1" thickBot="1" x14ac:dyDescent="0.3">
      <c r="A23" s="169" t="s">
        <v>14</v>
      </c>
      <c r="B23" s="155"/>
      <c r="C23" s="223">
        <f>SUM(C10:C22)</f>
        <v>1399578890.55</v>
      </c>
      <c r="D23" s="223">
        <f>SUM(D10:D22)</f>
        <v>141593091.60000002</v>
      </c>
      <c r="E23" s="223">
        <f>SUM(E10:E22)</f>
        <v>143915697.56</v>
      </c>
      <c r="F23" s="170">
        <f>(+D23-E23)/E23</f>
        <v>-1.6138656167313917E-2</v>
      </c>
      <c r="G23" s="236">
        <f>D23/C23</f>
        <v>0.1011683532497103</v>
      </c>
      <c r="H23" s="237">
        <f>1-G23</f>
        <v>0.8988316467502897</v>
      </c>
      <c r="I23" s="157"/>
    </row>
    <row r="24" spans="1:9" ht="15.75" thickTop="1" x14ac:dyDescent="0.2">
      <c r="A24" s="171"/>
      <c r="B24" s="172"/>
      <c r="C24" s="227"/>
      <c r="D24" s="227"/>
      <c r="E24" s="227"/>
      <c r="F24" s="173"/>
      <c r="G24" s="243"/>
      <c r="H24" s="244"/>
      <c r="I24" s="157"/>
    </row>
    <row r="25" spans="1:9" ht="15.75" x14ac:dyDescent="0.25">
      <c r="A25" s="19" t="s">
        <v>51</v>
      </c>
      <c r="B25" s="165">
        <f>DATE(18,7,1)</f>
        <v>6757</v>
      </c>
      <c r="C25" s="226">
        <v>65541726.200000003</v>
      </c>
      <c r="D25" s="226">
        <v>6830347.7599999998</v>
      </c>
      <c r="E25" s="226">
        <v>6811001.46</v>
      </c>
      <c r="F25" s="166">
        <f t="shared" ref="F25:F36" si="3">(+D25-E25)/E25</f>
        <v>2.8404486643583563E-3</v>
      </c>
      <c r="G25" s="241">
        <f t="shared" ref="G25:G36" si="4">D25/C25</f>
        <v>0.10421373003141927</v>
      </c>
      <c r="H25" s="242">
        <f t="shared" ref="H25:H36" si="5">1-G25</f>
        <v>0.89578626996858068</v>
      </c>
      <c r="I25" s="157"/>
    </row>
    <row r="26" spans="1:9" ht="15.75" x14ac:dyDescent="0.25">
      <c r="A26" s="19"/>
      <c r="B26" s="165">
        <f>DATE(18,8,1)</f>
        <v>6788</v>
      </c>
      <c r="C26" s="226">
        <v>63796111.600000001</v>
      </c>
      <c r="D26" s="226">
        <v>6442436.2599999998</v>
      </c>
      <c r="E26" s="226">
        <v>6396602.3099999996</v>
      </c>
      <c r="F26" s="166">
        <f t="shared" si="3"/>
        <v>7.1653586980617197E-3</v>
      </c>
      <c r="G26" s="241">
        <f t="shared" si="4"/>
        <v>0.100984779454803</v>
      </c>
      <c r="H26" s="242">
        <f t="shared" si="5"/>
        <v>0.899015220545197</v>
      </c>
      <c r="I26" s="157"/>
    </row>
    <row r="27" spans="1:9" ht="15.75" x14ac:dyDescent="0.25">
      <c r="A27" s="19"/>
      <c r="B27" s="165">
        <f>DATE(18,9,1)</f>
        <v>6819</v>
      </c>
      <c r="C27" s="226">
        <v>63301750.789999999</v>
      </c>
      <c r="D27" s="226">
        <v>6263081.7199999997</v>
      </c>
      <c r="E27" s="226">
        <v>6148408.0899999999</v>
      </c>
      <c r="F27" s="166">
        <f t="shared" si="3"/>
        <v>1.8650946443602101E-2</v>
      </c>
      <c r="G27" s="241">
        <f t="shared" si="4"/>
        <v>9.894010263282324E-2</v>
      </c>
      <c r="H27" s="242">
        <f t="shared" si="5"/>
        <v>0.90105989736717673</v>
      </c>
      <c r="I27" s="157"/>
    </row>
    <row r="28" spans="1:9" ht="15.75" x14ac:dyDescent="0.25">
      <c r="A28" s="19"/>
      <c r="B28" s="165">
        <f>DATE(18,10,1)</f>
        <v>6849</v>
      </c>
      <c r="C28" s="226">
        <v>57076488.57</v>
      </c>
      <c r="D28" s="226">
        <v>5583864.3700000001</v>
      </c>
      <c r="E28" s="226">
        <v>5734526.3600000003</v>
      </c>
      <c r="F28" s="166">
        <f t="shared" si="3"/>
        <v>-2.6272787069375372E-2</v>
      </c>
      <c r="G28" s="241">
        <f t="shared" si="4"/>
        <v>9.7831252585761516E-2</v>
      </c>
      <c r="H28" s="242">
        <f t="shared" si="5"/>
        <v>0.90216874741423847</v>
      </c>
      <c r="I28" s="157"/>
    </row>
    <row r="29" spans="1:9" ht="15.75" x14ac:dyDescent="0.25">
      <c r="A29" s="19"/>
      <c r="B29" s="165">
        <f>DATE(18,11,1)</f>
        <v>6880</v>
      </c>
      <c r="C29" s="226">
        <v>54722610.229999997</v>
      </c>
      <c r="D29" s="226">
        <v>5280741.6900000004</v>
      </c>
      <c r="E29" s="226">
        <v>5714351.8499999996</v>
      </c>
      <c r="F29" s="166">
        <f t="shared" si="3"/>
        <v>-7.5880899773436108E-2</v>
      </c>
      <c r="G29" s="241">
        <f t="shared" si="4"/>
        <v>9.6500179136283143E-2</v>
      </c>
      <c r="H29" s="242">
        <f t="shared" si="5"/>
        <v>0.90349982086371683</v>
      </c>
      <c r="I29" s="157"/>
    </row>
    <row r="30" spans="1:9" ht="15.75" x14ac:dyDescent="0.25">
      <c r="A30" s="19"/>
      <c r="B30" s="165">
        <f>DATE(18,12,1)</f>
        <v>6910</v>
      </c>
      <c r="C30" s="226">
        <v>63275121.399999999</v>
      </c>
      <c r="D30" s="226">
        <v>6010123.4199999999</v>
      </c>
      <c r="E30" s="226">
        <v>5911955.46</v>
      </c>
      <c r="F30" s="166">
        <f t="shared" si="3"/>
        <v>1.660498978116455E-2</v>
      </c>
      <c r="G30" s="241">
        <f t="shared" si="4"/>
        <v>9.4983988762445903E-2</v>
      </c>
      <c r="H30" s="242">
        <f t="shared" si="5"/>
        <v>0.90501601123755404</v>
      </c>
      <c r="I30" s="157"/>
    </row>
    <row r="31" spans="1:9" ht="15.75" x14ac:dyDescent="0.25">
      <c r="A31" s="19"/>
      <c r="B31" s="165">
        <f>DATE(19,1,1)</f>
        <v>6941</v>
      </c>
      <c r="C31" s="226">
        <v>50059923.170000002</v>
      </c>
      <c r="D31" s="226">
        <v>4663941.57</v>
      </c>
      <c r="E31" s="226">
        <v>5394556.3099999996</v>
      </c>
      <c r="F31" s="166">
        <f t="shared" si="3"/>
        <v>-0.1354355572571638</v>
      </c>
      <c r="G31" s="241">
        <f t="shared" si="4"/>
        <v>9.3167173951937174E-2</v>
      </c>
      <c r="H31" s="242">
        <f t="shared" si="5"/>
        <v>0.90683282604806281</v>
      </c>
      <c r="I31" s="157"/>
    </row>
    <row r="32" spans="1:9" ht="15.75" x14ac:dyDescent="0.25">
      <c r="A32" s="19"/>
      <c r="B32" s="165">
        <f>DATE(19,2,1)</f>
        <v>6972</v>
      </c>
      <c r="C32" s="226">
        <v>56015887.229999997</v>
      </c>
      <c r="D32" s="226">
        <v>5430626.4699999997</v>
      </c>
      <c r="E32" s="226">
        <v>5898754.5</v>
      </c>
      <c r="F32" s="166">
        <f t="shared" si="3"/>
        <v>-7.9360487031626806E-2</v>
      </c>
      <c r="G32" s="241">
        <f t="shared" si="4"/>
        <v>9.6947968487974975E-2</v>
      </c>
      <c r="H32" s="242">
        <f t="shared" si="5"/>
        <v>0.90305203151202507</v>
      </c>
      <c r="I32" s="157"/>
    </row>
    <row r="33" spans="1:9" ht="15.75" x14ac:dyDescent="0.25">
      <c r="A33" s="19"/>
      <c r="B33" s="165">
        <f>DATE(19,3,1)</f>
        <v>7000</v>
      </c>
      <c r="C33" s="226">
        <v>73025261.239999995</v>
      </c>
      <c r="D33" s="226">
        <v>7415577.3799999999</v>
      </c>
      <c r="E33" s="226">
        <v>7025004.2599999998</v>
      </c>
      <c r="F33" s="166">
        <f t="shared" si="3"/>
        <v>5.559756343834589E-2</v>
      </c>
      <c r="G33" s="241">
        <f t="shared" si="4"/>
        <v>0.10154811162713206</v>
      </c>
      <c r="H33" s="242">
        <f t="shared" si="5"/>
        <v>0.89845188837286794</v>
      </c>
      <c r="I33" s="157"/>
    </row>
    <row r="34" spans="1:9" ht="15.75" x14ac:dyDescent="0.25">
      <c r="A34" s="19"/>
      <c r="B34" s="165">
        <f>DATE(19,4,1)</f>
        <v>7031</v>
      </c>
      <c r="C34" s="226">
        <v>57994237.280000001</v>
      </c>
      <c r="D34" s="226">
        <v>5729556.8600000003</v>
      </c>
      <c r="E34" s="226">
        <v>6287577.5499999998</v>
      </c>
      <c r="F34" s="166">
        <f t="shared" si="3"/>
        <v>-8.8749710928018616E-2</v>
      </c>
      <c r="G34" s="241">
        <f t="shared" si="4"/>
        <v>9.8795279129843913E-2</v>
      </c>
      <c r="H34" s="242">
        <f t="shared" si="5"/>
        <v>0.90120472087015613</v>
      </c>
      <c r="I34" s="157"/>
    </row>
    <row r="35" spans="1:9" ht="15.75" x14ac:dyDescent="0.25">
      <c r="A35" s="19"/>
      <c r="B35" s="165">
        <f>DATE(19,5,1)</f>
        <v>7061</v>
      </c>
      <c r="C35" s="226">
        <v>63375421.289999999</v>
      </c>
      <c r="D35" s="226">
        <v>6346368.9500000002</v>
      </c>
      <c r="E35" s="226">
        <v>6041060.2400000002</v>
      </c>
      <c r="F35" s="166">
        <f t="shared" si="3"/>
        <v>5.0538928246145073E-2</v>
      </c>
      <c r="G35" s="241">
        <f t="shared" si="4"/>
        <v>0.10013927830096166</v>
      </c>
      <c r="H35" s="242">
        <f t="shared" si="5"/>
        <v>0.8998607216990383</v>
      </c>
      <c r="I35" s="157"/>
    </row>
    <row r="36" spans="1:9" ht="15.75" x14ac:dyDescent="0.25">
      <c r="A36" s="19"/>
      <c r="B36" s="165">
        <f>DATE(19,6,1)</f>
        <v>7092</v>
      </c>
      <c r="C36" s="226">
        <v>54853194.420000002</v>
      </c>
      <c r="D36" s="226">
        <v>5855340.3499999996</v>
      </c>
      <c r="E36" s="226">
        <v>5953514.54</v>
      </c>
      <c r="F36" s="166">
        <f t="shared" si="3"/>
        <v>-1.6490123496028349E-2</v>
      </c>
      <c r="G36" s="241">
        <f t="shared" si="4"/>
        <v>0.10674565833243591</v>
      </c>
      <c r="H36" s="242">
        <f t="shared" si="5"/>
        <v>0.89325434166756412</v>
      </c>
      <c r="I36" s="157"/>
    </row>
    <row r="37" spans="1:9" ht="15.75" thickBot="1" x14ac:dyDescent="0.25">
      <c r="A37" s="167"/>
      <c r="B37" s="165"/>
      <c r="C37" s="226"/>
      <c r="D37" s="226"/>
      <c r="E37" s="226"/>
      <c r="F37" s="166"/>
      <c r="G37" s="241"/>
      <c r="H37" s="242"/>
      <c r="I37" s="157"/>
    </row>
    <row r="38" spans="1:9" ht="17.25" thickTop="1" thickBot="1" x14ac:dyDescent="0.3">
      <c r="A38" s="169" t="s">
        <v>14</v>
      </c>
      <c r="B38" s="155"/>
      <c r="C38" s="223">
        <f>SUM(C25:C37)</f>
        <v>723037733.41999984</v>
      </c>
      <c r="D38" s="223">
        <f>SUM(D25:D37)</f>
        <v>71852006.799999997</v>
      </c>
      <c r="E38" s="223">
        <f>SUM(E25:E37)</f>
        <v>73317312.930000007</v>
      </c>
      <c r="F38" s="170">
        <f>(+D38-E38)/E38</f>
        <v>-1.9985813328961155E-2</v>
      </c>
      <c r="G38" s="236">
        <f>D38/C38</f>
        <v>9.9375182620327282E-2</v>
      </c>
      <c r="H38" s="237">
        <f>1-G38</f>
        <v>0.9006248173796727</v>
      </c>
      <c r="I38" s="157"/>
    </row>
    <row r="39" spans="1:9" ht="15.75" thickTop="1" x14ac:dyDescent="0.2">
      <c r="A39" s="171"/>
      <c r="B39" s="172"/>
      <c r="C39" s="227"/>
      <c r="D39" s="227"/>
      <c r="E39" s="227"/>
      <c r="F39" s="173"/>
      <c r="G39" s="243"/>
      <c r="H39" s="244"/>
      <c r="I39" s="157"/>
    </row>
    <row r="40" spans="1:9" ht="15.75" x14ac:dyDescent="0.25">
      <c r="A40" s="19" t="s">
        <v>60</v>
      </c>
      <c r="B40" s="165">
        <f>DATE(18,7,1)</f>
        <v>6757</v>
      </c>
      <c r="C40" s="226">
        <v>27451989.68</v>
      </c>
      <c r="D40" s="226">
        <v>2891699.85</v>
      </c>
      <c r="E40" s="226">
        <v>2951015.74</v>
      </c>
      <c r="F40" s="166">
        <f t="shared" ref="F40:F51" si="6">(+D40-E40)/E40</f>
        <v>-2.0100160495924745E-2</v>
      </c>
      <c r="G40" s="241">
        <f t="shared" ref="G40:G51" si="7">D40/C40</f>
        <v>0.10533662163317556</v>
      </c>
      <c r="H40" s="242">
        <f t="shared" ref="H40:H51" si="8">1-G40</f>
        <v>0.89466337836682441</v>
      </c>
      <c r="I40" s="157"/>
    </row>
    <row r="41" spans="1:9" ht="15.75" x14ac:dyDescent="0.25">
      <c r="A41" s="19"/>
      <c r="B41" s="165">
        <f>DATE(18,8,1)</f>
        <v>6788</v>
      </c>
      <c r="C41" s="226">
        <v>25957318.239999998</v>
      </c>
      <c r="D41" s="226">
        <v>2785511.76</v>
      </c>
      <c r="E41" s="226">
        <v>2587760.59</v>
      </c>
      <c r="F41" s="166">
        <f t="shared" si="6"/>
        <v>7.6417876817576835E-2</v>
      </c>
      <c r="G41" s="241">
        <f t="shared" si="7"/>
        <v>0.10731123046862179</v>
      </c>
      <c r="H41" s="242">
        <f t="shared" si="8"/>
        <v>0.89268876953137821</v>
      </c>
      <c r="I41" s="157"/>
    </row>
    <row r="42" spans="1:9" ht="15.75" x14ac:dyDescent="0.25">
      <c r="A42" s="19"/>
      <c r="B42" s="165">
        <f>DATE(18,9,1)</f>
        <v>6819</v>
      </c>
      <c r="C42" s="226">
        <v>26244468.760000002</v>
      </c>
      <c r="D42" s="226">
        <v>2777720.64</v>
      </c>
      <c r="E42" s="226">
        <v>2789987.56</v>
      </c>
      <c r="F42" s="166">
        <f t="shared" si="6"/>
        <v>-4.3967651239276229E-3</v>
      </c>
      <c r="G42" s="241">
        <f t="shared" si="7"/>
        <v>0.10584023115124393</v>
      </c>
      <c r="H42" s="242">
        <f t="shared" si="8"/>
        <v>0.89415976884875603</v>
      </c>
      <c r="I42" s="157"/>
    </row>
    <row r="43" spans="1:9" ht="15.75" x14ac:dyDescent="0.25">
      <c r="A43" s="19"/>
      <c r="B43" s="165">
        <f>DATE(18,10,1)</f>
        <v>6849</v>
      </c>
      <c r="C43" s="226">
        <v>24694763.75</v>
      </c>
      <c r="D43" s="226">
        <v>2633608.27</v>
      </c>
      <c r="E43" s="226">
        <v>2567921.2599999998</v>
      </c>
      <c r="F43" s="166">
        <f t="shared" si="6"/>
        <v>2.5579838067153294E-2</v>
      </c>
      <c r="G43" s="241">
        <f t="shared" si="7"/>
        <v>0.10664642499363858</v>
      </c>
      <c r="H43" s="242">
        <f t="shared" si="8"/>
        <v>0.89335357500636148</v>
      </c>
      <c r="I43" s="157"/>
    </row>
    <row r="44" spans="1:9" ht="15.75" x14ac:dyDescent="0.25">
      <c r="A44" s="19"/>
      <c r="B44" s="165">
        <f>DATE(18,11,1)</f>
        <v>6880</v>
      </c>
      <c r="C44" s="226">
        <v>23994134.84</v>
      </c>
      <c r="D44" s="226">
        <v>2551021.5099999998</v>
      </c>
      <c r="E44" s="226">
        <v>2542392.6800000002</v>
      </c>
      <c r="F44" s="166">
        <f t="shared" si="6"/>
        <v>3.3939800361601135E-3</v>
      </c>
      <c r="G44" s="241">
        <f t="shared" si="7"/>
        <v>0.10631854521994509</v>
      </c>
      <c r="H44" s="242">
        <f t="shared" si="8"/>
        <v>0.8936814547800549</v>
      </c>
      <c r="I44" s="157"/>
    </row>
    <row r="45" spans="1:9" ht="15.75" x14ac:dyDescent="0.25">
      <c r="A45" s="19"/>
      <c r="B45" s="165">
        <f>DATE(18,12,1)</f>
        <v>6910</v>
      </c>
      <c r="C45" s="226">
        <v>26510723.73</v>
      </c>
      <c r="D45" s="226">
        <v>2786245.45</v>
      </c>
      <c r="E45" s="226">
        <v>2721371.75</v>
      </c>
      <c r="F45" s="166">
        <f t="shared" si="6"/>
        <v>2.3838602719382308E-2</v>
      </c>
      <c r="G45" s="241">
        <f t="shared" si="7"/>
        <v>0.10509880750056763</v>
      </c>
      <c r="H45" s="242">
        <f t="shared" si="8"/>
        <v>0.89490119249943234</v>
      </c>
      <c r="I45" s="157"/>
    </row>
    <row r="46" spans="1:9" ht="15.75" x14ac:dyDescent="0.25">
      <c r="A46" s="19"/>
      <c r="B46" s="165">
        <f>DATE(19,1,1)</f>
        <v>6941</v>
      </c>
      <c r="C46" s="226">
        <v>22778766.690000001</v>
      </c>
      <c r="D46" s="226">
        <v>2442891.35</v>
      </c>
      <c r="E46" s="226">
        <v>2149317.9500000002</v>
      </c>
      <c r="F46" s="166">
        <f t="shared" si="6"/>
        <v>0.13658909795081731</v>
      </c>
      <c r="G46" s="241">
        <f t="shared" si="7"/>
        <v>0.10724423245760896</v>
      </c>
      <c r="H46" s="242">
        <f t="shared" si="8"/>
        <v>0.89275576754239105</v>
      </c>
      <c r="I46" s="157"/>
    </row>
    <row r="47" spans="1:9" ht="15.75" x14ac:dyDescent="0.25">
      <c r="A47" s="19"/>
      <c r="B47" s="165">
        <f>DATE(19,2,1)</f>
        <v>6972</v>
      </c>
      <c r="C47" s="226">
        <v>24810301.690000001</v>
      </c>
      <c r="D47" s="226">
        <v>2630594.64</v>
      </c>
      <c r="E47" s="226">
        <v>2669700.1800000002</v>
      </c>
      <c r="F47" s="166">
        <f t="shared" si="6"/>
        <v>-1.4647914508512352E-2</v>
      </c>
      <c r="G47" s="241">
        <f t="shared" si="7"/>
        <v>0.10602832133477375</v>
      </c>
      <c r="H47" s="242">
        <f t="shared" si="8"/>
        <v>0.89397167866522631</v>
      </c>
      <c r="I47" s="157"/>
    </row>
    <row r="48" spans="1:9" ht="15.75" x14ac:dyDescent="0.25">
      <c r="A48" s="19"/>
      <c r="B48" s="165">
        <f>DATE(19,3,1)</f>
        <v>7000</v>
      </c>
      <c r="C48" s="226">
        <v>31240200.559999999</v>
      </c>
      <c r="D48" s="226">
        <v>3403749.63</v>
      </c>
      <c r="E48" s="226">
        <v>3445390.71</v>
      </c>
      <c r="F48" s="166">
        <f t="shared" si="6"/>
        <v>-1.2086025506233536E-2</v>
      </c>
      <c r="G48" s="241">
        <f t="shared" si="7"/>
        <v>0.10895415423030819</v>
      </c>
      <c r="H48" s="242">
        <f t="shared" si="8"/>
        <v>0.89104584576969181</v>
      </c>
      <c r="I48" s="157"/>
    </row>
    <row r="49" spans="1:9" ht="15.75" x14ac:dyDescent="0.25">
      <c r="A49" s="19"/>
      <c r="B49" s="165">
        <f>DATE(19,4,1)</f>
        <v>7031</v>
      </c>
      <c r="C49" s="226">
        <v>25296918.420000002</v>
      </c>
      <c r="D49" s="226">
        <v>2758287.96</v>
      </c>
      <c r="E49" s="226">
        <v>2783592.72</v>
      </c>
      <c r="F49" s="166">
        <f t="shared" si="6"/>
        <v>-9.0906833525560594E-3</v>
      </c>
      <c r="G49" s="241">
        <f t="shared" si="7"/>
        <v>0.10903652034625962</v>
      </c>
      <c r="H49" s="242">
        <f t="shared" si="8"/>
        <v>0.89096347965374034</v>
      </c>
      <c r="I49" s="157"/>
    </row>
    <row r="50" spans="1:9" ht="15.75" x14ac:dyDescent="0.25">
      <c r="A50" s="19"/>
      <c r="B50" s="165">
        <f>DATE(19,5,1)</f>
        <v>7061</v>
      </c>
      <c r="C50" s="226">
        <v>27344655.98</v>
      </c>
      <c r="D50" s="226">
        <v>2904564.69</v>
      </c>
      <c r="E50" s="226">
        <v>2802435.7</v>
      </c>
      <c r="F50" s="166">
        <f t="shared" si="6"/>
        <v>3.6442937834398753E-2</v>
      </c>
      <c r="G50" s="241">
        <f t="shared" si="7"/>
        <v>0.10622056068741223</v>
      </c>
      <c r="H50" s="242">
        <f t="shared" si="8"/>
        <v>0.89377943931258774</v>
      </c>
      <c r="I50" s="157"/>
    </row>
    <row r="51" spans="1:9" ht="15.75" x14ac:dyDescent="0.25">
      <c r="A51" s="19"/>
      <c r="B51" s="165">
        <f>DATE(19,6,1)</f>
        <v>7092</v>
      </c>
      <c r="C51" s="226">
        <v>25904550.859999999</v>
      </c>
      <c r="D51" s="226">
        <v>2787652.08</v>
      </c>
      <c r="E51" s="226">
        <v>2888938.9</v>
      </c>
      <c r="F51" s="166">
        <f t="shared" si="6"/>
        <v>-3.5060215361425555E-2</v>
      </c>
      <c r="G51" s="241">
        <f t="shared" si="7"/>
        <v>0.1076124459777644</v>
      </c>
      <c r="H51" s="242">
        <f t="shared" si="8"/>
        <v>0.89238755402223557</v>
      </c>
      <c r="I51" s="157"/>
    </row>
    <row r="52" spans="1:9" ht="15.75" thickBot="1" x14ac:dyDescent="0.25">
      <c r="A52" s="167"/>
      <c r="B52" s="165"/>
      <c r="C52" s="226"/>
      <c r="D52" s="226"/>
      <c r="E52" s="226"/>
      <c r="F52" s="166"/>
      <c r="G52" s="241"/>
      <c r="H52" s="242"/>
      <c r="I52" s="157"/>
    </row>
    <row r="53" spans="1:9" ht="17.25" thickTop="1" thickBot="1" x14ac:dyDescent="0.3">
      <c r="A53" s="174" t="s">
        <v>14</v>
      </c>
      <c r="B53" s="175"/>
      <c r="C53" s="228">
        <f>SUM(C40:C52)</f>
        <v>312228793.20000005</v>
      </c>
      <c r="D53" s="228">
        <f>SUM(D40:D52)</f>
        <v>33353547.830000006</v>
      </c>
      <c r="E53" s="228">
        <f>SUM(E40:E52)</f>
        <v>32899825.739999998</v>
      </c>
      <c r="F53" s="176">
        <f>(+D53-E53)/E53</f>
        <v>1.3791018031088433E-2</v>
      </c>
      <c r="G53" s="245">
        <f>D53/C53</f>
        <v>0.10682406157408804</v>
      </c>
      <c r="H53" s="246">
        <f>1-G53</f>
        <v>0.89317593842591192</v>
      </c>
      <c r="I53" s="157"/>
    </row>
    <row r="54" spans="1:9" ht="15.75" thickTop="1" x14ac:dyDescent="0.2">
      <c r="A54" s="167"/>
      <c r="B54" s="168"/>
      <c r="C54" s="226"/>
      <c r="D54" s="226"/>
      <c r="E54" s="226"/>
      <c r="F54" s="166"/>
      <c r="G54" s="241"/>
      <c r="H54" s="242"/>
      <c r="I54" s="157"/>
    </row>
    <row r="55" spans="1:9" ht="15.75" x14ac:dyDescent="0.25">
      <c r="A55" s="177" t="s">
        <v>65</v>
      </c>
      <c r="B55" s="165">
        <f>DATE(18,7,1)</f>
        <v>6757</v>
      </c>
      <c r="C55" s="226">
        <v>184818671</v>
      </c>
      <c r="D55" s="226">
        <v>17539246.18</v>
      </c>
      <c r="E55" s="226">
        <v>17796071.329999998</v>
      </c>
      <c r="F55" s="166">
        <f t="shared" ref="F55:F66" si="9">(+D55-E55)/E55</f>
        <v>-1.4431564430012797E-2</v>
      </c>
      <c r="G55" s="241">
        <f t="shared" ref="G55:G66" si="10">D55/C55</f>
        <v>9.4899752741972696E-2</v>
      </c>
      <c r="H55" s="242">
        <f t="shared" ref="H55:H66" si="11">1-G55</f>
        <v>0.90510024725802729</v>
      </c>
      <c r="I55" s="157"/>
    </row>
    <row r="56" spans="1:9" ht="15.75" x14ac:dyDescent="0.25">
      <c r="A56" s="177"/>
      <c r="B56" s="165">
        <f>DATE(18,8,1)</f>
        <v>6788</v>
      </c>
      <c r="C56" s="226">
        <v>185402170.61000001</v>
      </c>
      <c r="D56" s="226">
        <v>17390823.879999999</v>
      </c>
      <c r="E56" s="226">
        <v>17013833.449999999</v>
      </c>
      <c r="F56" s="166">
        <f t="shared" si="9"/>
        <v>2.2157877065618021E-2</v>
      </c>
      <c r="G56" s="241">
        <f t="shared" si="10"/>
        <v>9.3800540860884574E-2</v>
      </c>
      <c r="H56" s="242">
        <f t="shared" si="11"/>
        <v>0.90619945913911537</v>
      </c>
      <c r="I56" s="157"/>
    </row>
    <row r="57" spans="1:9" ht="15.75" x14ac:dyDescent="0.25">
      <c r="A57" s="177"/>
      <c r="B57" s="165">
        <f>DATE(18,9,1)</f>
        <v>6819</v>
      </c>
      <c r="C57" s="226">
        <v>169616120.72999999</v>
      </c>
      <c r="D57" s="226">
        <v>16350217.75</v>
      </c>
      <c r="E57" s="226">
        <v>16916276.07</v>
      </c>
      <c r="F57" s="166">
        <f t="shared" si="9"/>
        <v>-3.3462348193989973E-2</v>
      </c>
      <c r="G57" s="241">
        <f t="shared" si="10"/>
        <v>9.6395423263020891E-2</v>
      </c>
      <c r="H57" s="242">
        <f t="shared" si="11"/>
        <v>0.90360457673697914</v>
      </c>
      <c r="I57" s="157"/>
    </row>
    <row r="58" spans="1:9" ht="15.75" x14ac:dyDescent="0.25">
      <c r="A58" s="177"/>
      <c r="B58" s="165">
        <f>DATE(18,10,1)</f>
        <v>6849</v>
      </c>
      <c r="C58" s="226">
        <v>166482334.12</v>
      </c>
      <c r="D58" s="226">
        <v>15575678.630000001</v>
      </c>
      <c r="E58" s="226">
        <v>15553875.560000001</v>
      </c>
      <c r="F58" s="166">
        <f t="shared" si="9"/>
        <v>1.4017773201215129E-3</v>
      </c>
      <c r="G58" s="241">
        <f t="shared" si="10"/>
        <v>9.3557545984266979E-2</v>
      </c>
      <c r="H58" s="242">
        <f t="shared" si="11"/>
        <v>0.90644245401573298</v>
      </c>
      <c r="I58" s="157"/>
    </row>
    <row r="59" spans="1:9" ht="15.75" x14ac:dyDescent="0.25">
      <c r="A59" s="177"/>
      <c r="B59" s="165">
        <f>DATE(18,11,1)</f>
        <v>6880</v>
      </c>
      <c r="C59" s="226">
        <v>162436599.84999999</v>
      </c>
      <c r="D59" s="226">
        <v>14866628.689999999</v>
      </c>
      <c r="E59" s="226">
        <v>15514479.140000001</v>
      </c>
      <c r="F59" s="166">
        <f t="shared" si="9"/>
        <v>-4.1757795679372135E-2</v>
      </c>
      <c r="G59" s="241">
        <f t="shared" si="10"/>
        <v>9.1522653784482058E-2</v>
      </c>
      <c r="H59" s="242">
        <f t="shared" si="11"/>
        <v>0.9084773462155179</v>
      </c>
      <c r="I59" s="157"/>
    </row>
    <row r="60" spans="1:9" ht="15.75" x14ac:dyDescent="0.25">
      <c r="A60" s="177"/>
      <c r="B60" s="165">
        <f>DATE(18,12,1)</f>
        <v>6910</v>
      </c>
      <c r="C60" s="226">
        <v>179551074.19</v>
      </c>
      <c r="D60" s="226">
        <v>16436113.140000001</v>
      </c>
      <c r="E60" s="226">
        <v>16895433.949999999</v>
      </c>
      <c r="F60" s="166">
        <f t="shared" si="9"/>
        <v>-2.718609130486398E-2</v>
      </c>
      <c r="G60" s="241">
        <f t="shared" si="10"/>
        <v>9.1540043489839518E-2</v>
      </c>
      <c r="H60" s="242">
        <f t="shared" si="11"/>
        <v>0.90845995651016054</v>
      </c>
      <c r="I60" s="157"/>
    </row>
    <row r="61" spans="1:9" ht="15.75" x14ac:dyDescent="0.25">
      <c r="A61" s="177"/>
      <c r="B61" s="165">
        <f>DATE(19,1,1)</f>
        <v>6941</v>
      </c>
      <c r="C61" s="226">
        <v>146567355.46000001</v>
      </c>
      <c r="D61" s="226">
        <v>13439931.689999999</v>
      </c>
      <c r="E61" s="226">
        <v>14722625.029999999</v>
      </c>
      <c r="F61" s="166">
        <f t="shared" si="9"/>
        <v>-8.7123956317999088E-2</v>
      </c>
      <c r="G61" s="241">
        <f t="shared" si="10"/>
        <v>9.1697988599295691E-2</v>
      </c>
      <c r="H61" s="242">
        <f t="shared" si="11"/>
        <v>0.90830201140070432</v>
      </c>
      <c r="I61" s="157"/>
    </row>
    <row r="62" spans="1:9" ht="15.75" x14ac:dyDescent="0.25">
      <c r="A62" s="177"/>
      <c r="B62" s="165">
        <f>DATE(19,2,1)</f>
        <v>6972</v>
      </c>
      <c r="C62" s="226">
        <v>162305515.59</v>
      </c>
      <c r="D62" s="226">
        <v>15398690.67</v>
      </c>
      <c r="E62" s="226">
        <v>16321322.119999999</v>
      </c>
      <c r="F62" s="166">
        <f t="shared" si="9"/>
        <v>-5.6529210269639557E-2</v>
      </c>
      <c r="G62" s="241">
        <f t="shared" si="10"/>
        <v>9.4874721995884814E-2</v>
      </c>
      <c r="H62" s="242">
        <f t="shared" si="11"/>
        <v>0.90512527800411524</v>
      </c>
      <c r="I62" s="157"/>
    </row>
    <row r="63" spans="1:9" ht="15.75" x14ac:dyDescent="0.25">
      <c r="A63" s="177"/>
      <c r="B63" s="165">
        <f>DATE(19,3,1)</f>
        <v>7000</v>
      </c>
      <c r="C63" s="226">
        <v>197401131</v>
      </c>
      <c r="D63" s="226">
        <v>18771751.93</v>
      </c>
      <c r="E63" s="226">
        <v>19040351.649999999</v>
      </c>
      <c r="F63" s="166">
        <f t="shared" si="9"/>
        <v>-1.4106867611344711E-2</v>
      </c>
      <c r="G63" s="241">
        <f t="shared" si="10"/>
        <v>9.5094449737473899E-2</v>
      </c>
      <c r="H63" s="242">
        <f t="shared" si="11"/>
        <v>0.90490555026252606</v>
      </c>
      <c r="I63" s="157"/>
    </row>
    <row r="64" spans="1:9" ht="15.75" x14ac:dyDescent="0.25">
      <c r="A64" s="177"/>
      <c r="B64" s="165">
        <f>DATE(19,4,1)</f>
        <v>7031</v>
      </c>
      <c r="C64" s="226">
        <v>171913400.49000001</v>
      </c>
      <c r="D64" s="226">
        <v>15846165.699999999</v>
      </c>
      <c r="E64" s="226">
        <v>17354813.780000001</v>
      </c>
      <c r="F64" s="166">
        <f t="shared" si="9"/>
        <v>-8.6929661079889836E-2</v>
      </c>
      <c r="G64" s="241">
        <f t="shared" si="10"/>
        <v>9.2175279267550467E-2</v>
      </c>
      <c r="H64" s="242">
        <f t="shared" si="11"/>
        <v>0.90782472073244957</v>
      </c>
      <c r="I64" s="157"/>
    </row>
    <row r="65" spans="1:9" ht="15.75" x14ac:dyDescent="0.25">
      <c r="A65" s="177"/>
      <c r="B65" s="165">
        <f>DATE(19,5,1)</f>
        <v>7061</v>
      </c>
      <c r="C65" s="226">
        <v>192059579.77000001</v>
      </c>
      <c r="D65" s="226">
        <v>18252968.039999999</v>
      </c>
      <c r="E65" s="226">
        <v>17005402.16</v>
      </c>
      <c r="F65" s="166">
        <f t="shared" si="9"/>
        <v>7.3362915399584935E-2</v>
      </c>
      <c r="G65" s="241">
        <f t="shared" si="10"/>
        <v>9.5038050493803802E-2</v>
      </c>
      <c r="H65" s="242">
        <f t="shared" si="11"/>
        <v>0.90496194950619624</v>
      </c>
      <c r="I65" s="157"/>
    </row>
    <row r="66" spans="1:9" ht="15.75" x14ac:dyDescent="0.25">
      <c r="A66" s="177"/>
      <c r="B66" s="165">
        <f>DATE(19,6,1)</f>
        <v>7092</v>
      </c>
      <c r="C66" s="226">
        <v>185132100.72999999</v>
      </c>
      <c r="D66" s="226">
        <v>17489564.43</v>
      </c>
      <c r="E66" s="226">
        <v>16790172.370000001</v>
      </c>
      <c r="F66" s="166">
        <f t="shared" si="9"/>
        <v>4.1654846929960292E-2</v>
      </c>
      <c r="G66" s="241">
        <f t="shared" si="10"/>
        <v>9.4470728528636416E-2</v>
      </c>
      <c r="H66" s="242">
        <f t="shared" si="11"/>
        <v>0.90552927147136364</v>
      </c>
      <c r="I66" s="157"/>
    </row>
    <row r="67" spans="1:9" ht="15.75" thickBot="1" x14ac:dyDescent="0.25">
      <c r="A67" s="167"/>
      <c r="B67" s="168"/>
      <c r="C67" s="226"/>
      <c r="D67" s="226"/>
      <c r="E67" s="226"/>
      <c r="F67" s="166"/>
      <c r="G67" s="241"/>
      <c r="H67" s="242"/>
      <c r="I67" s="157"/>
    </row>
    <row r="68" spans="1:9" ht="17.25" thickTop="1" thickBot="1" x14ac:dyDescent="0.3">
      <c r="A68" s="174" t="s">
        <v>14</v>
      </c>
      <c r="B68" s="178"/>
      <c r="C68" s="228">
        <f>SUM(C55:C67)</f>
        <v>2103686053.54</v>
      </c>
      <c r="D68" s="228">
        <f>SUM(D55:D67)</f>
        <v>197357780.72999999</v>
      </c>
      <c r="E68" s="228">
        <f>SUM(E55:E67)</f>
        <v>200924656.61000001</v>
      </c>
      <c r="F68" s="176">
        <f>(+D68-E68)/E68</f>
        <v>-1.7752305467035955E-2</v>
      </c>
      <c r="G68" s="245">
        <f>D68/C68</f>
        <v>9.3815225136799338E-2</v>
      </c>
      <c r="H68" s="246">
        <f>1-G68</f>
        <v>0.9061847748632007</v>
      </c>
      <c r="I68" s="157"/>
    </row>
    <row r="69" spans="1:9" ht="15.75" thickTop="1" x14ac:dyDescent="0.2">
      <c r="A69" s="167"/>
      <c r="B69" s="168"/>
      <c r="C69" s="226"/>
      <c r="D69" s="226"/>
      <c r="E69" s="226"/>
      <c r="F69" s="166"/>
      <c r="G69" s="241"/>
      <c r="H69" s="242"/>
      <c r="I69" s="157"/>
    </row>
    <row r="70" spans="1:9" ht="15.75" x14ac:dyDescent="0.25">
      <c r="A70" s="164" t="s">
        <v>16</v>
      </c>
      <c r="B70" s="165">
        <f>DATE(18,7,1)</f>
        <v>6757</v>
      </c>
      <c r="C70" s="226">
        <v>111478358.27</v>
      </c>
      <c r="D70" s="226">
        <v>11381105.73</v>
      </c>
      <c r="E70" s="226">
        <v>12386204.68</v>
      </c>
      <c r="F70" s="166">
        <f t="shared" ref="F70:F81" si="12">(+D70-E70)/E70</f>
        <v>-8.1146644671788143E-2</v>
      </c>
      <c r="G70" s="241">
        <f t="shared" ref="G70:G81" si="13">D70/C70</f>
        <v>0.10209251290223545</v>
      </c>
      <c r="H70" s="242">
        <f t="shared" ref="H70:H81" si="14">1-G70</f>
        <v>0.89790748709776458</v>
      </c>
      <c r="I70" s="157"/>
    </row>
    <row r="71" spans="1:9" ht="15.75" x14ac:dyDescent="0.25">
      <c r="A71" s="164"/>
      <c r="B71" s="165">
        <f>DATE(18,8,1)</f>
        <v>6788</v>
      </c>
      <c r="C71" s="226">
        <v>118354764.09</v>
      </c>
      <c r="D71" s="226">
        <v>11018606.25</v>
      </c>
      <c r="E71" s="226">
        <v>11735802.960000001</v>
      </c>
      <c r="F71" s="166">
        <f t="shared" si="12"/>
        <v>-6.1111856806430297E-2</v>
      </c>
      <c r="G71" s="241">
        <f t="shared" si="13"/>
        <v>9.309812186031792E-2</v>
      </c>
      <c r="H71" s="242">
        <f t="shared" si="14"/>
        <v>0.90690187813968204</v>
      </c>
      <c r="I71" s="157"/>
    </row>
    <row r="72" spans="1:9" ht="15.75" x14ac:dyDescent="0.25">
      <c r="A72" s="164"/>
      <c r="B72" s="165">
        <f>DATE(18,9,1)</f>
        <v>6819</v>
      </c>
      <c r="C72" s="226">
        <v>117946300.34</v>
      </c>
      <c r="D72" s="226">
        <v>11865007.26</v>
      </c>
      <c r="E72" s="226">
        <v>11892155.970000001</v>
      </c>
      <c r="F72" s="166">
        <f t="shared" si="12"/>
        <v>-2.282909008970969E-3</v>
      </c>
      <c r="G72" s="241">
        <f t="shared" si="13"/>
        <v>0.10059668871170291</v>
      </c>
      <c r="H72" s="242">
        <f t="shared" si="14"/>
        <v>0.89940331128829709</v>
      </c>
      <c r="I72" s="157"/>
    </row>
    <row r="73" spans="1:9" ht="15.75" x14ac:dyDescent="0.25">
      <c r="A73" s="164"/>
      <c r="B73" s="165">
        <f>DATE(18,10,1)</f>
        <v>6849</v>
      </c>
      <c r="C73" s="226">
        <v>111145625.37</v>
      </c>
      <c r="D73" s="226">
        <v>11049162.109999999</v>
      </c>
      <c r="E73" s="226">
        <v>11365393.67</v>
      </c>
      <c r="F73" s="166">
        <f t="shared" si="12"/>
        <v>-2.7824074482762771E-2</v>
      </c>
      <c r="G73" s="241">
        <f t="shared" si="13"/>
        <v>9.9411578937252054E-2</v>
      </c>
      <c r="H73" s="242">
        <f t="shared" si="14"/>
        <v>0.90058842106274795</v>
      </c>
      <c r="I73" s="157"/>
    </row>
    <row r="74" spans="1:9" ht="15.75" x14ac:dyDescent="0.25">
      <c r="A74" s="164"/>
      <c r="B74" s="165">
        <f>DATE(18,11,1)</f>
        <v>6880</v>
      </c>
      <c r="C74" s="226">
        <v>103133163.15000001</v>
      </c>
      <c r="D74" s="226">
        <v>10320344.720000001</v>
      </c>
      <c r="E74" s="226">
        <v>10423173.18</v>
      </c>
      <c r="F74" s="166">
        <f t="shared" si="12"/>
        <v>-9.8653700005010402E-3</v>
      </c>
      <c r="G74" s="241">
        <f t="shared" si="13"/>
        <v>0.10006814883578988</v>
      </c>
      <c r="H74" s="242">
        <f t="shared" si="14"/>
        <v>0.89993185116421015</v>
      </c>
      <c r="I74" s="157"/>
    </row>
    <row r="75" spans="1:9" ht="15.75" x14ac:dyDescent="0.25">
      <c r="A75" s="164"/>
      <c r="B75" s="165">
        <f>DATE(18,12,1)</f>
        <v>6910</v>
      </c>
      <c r="C75" s="226">
        <v>121311765.33</v>
      </c>
      <c r="D75" s="226">
        <v>11723908.33</v>
      </c>
      <c r="E75" s="226">
        <v>11374202.050000001</v>
      </c>
      <c r="F75" s="166">
        <f t="shared" si="12"/>
        <v>3.0745566015331977E-2</v>
      </c>
      <c r="G75" s="241">
        <f t="shared" si="13"/>
        <v>9.6642797160752525E-2</v>
      </c>
      <c r="H75" s="242">
        <f t="shared" si="14"/>
        <v>0.90335720283924748</v>
      </c>
      <c r="I75" s="157"/>
    </row>
    <row r="76" spans="1:9" ht="15.75" x14ac:dyDescent="0.25">
      <c r="A76" s="164"/>
      <c r="B76" s="165">
        <f>DATE(19,1,1)</f>
        <v>6941</v>
      </c>
      <c r="C76" s="226">
        <v>101897085.93000001</v>
      </c>
      <c r="D76" s="226">
        <v>10040856.289999999</v>
      </c>
      <c r="E76" s="226">
        <v>9601370.9199999999</v>
      </c>
      <c r="F76" s="166">
        <f t="shared" si="12"/>
        <v>4.5773189439492996E-2</v>
      </c>
      <c r="G76" s="241">
        <f t="shared" si="13"/>
        <v>9.8539189794865589E-2</v>
      </c>
      <c r="H76" s="242">
        <f t="shared" si="14"/>
        <v>0.90146081020513447</v>
      </c>
      <c r="I76" s="157"/>
    </row>
    <row r="77" spans="1:9" ht="15.75" x14ac:dyDescent="0.25">
      <c r="A77" s="164"/>
      <c r="B77" s="165">
        <f>DATE(19,2,1)</f>
        <v>6972</v>
      </c>
      <c r="C77" s="226">
        <v>98535626.560000002</v>
      </c>
      <c r="D77" s="226">
        <v>9810243.6999999993</v>
      </c>
      <c r="E77" s="226">
        <v>9958011.3599999994</v>
      </c>
      <c r="F77" s="166">
        <f t="shared" si="12"/>
        <v>-1.4839073250464756E-2</v>
      </c>
      <c r="G77" s="241">
        <f t="shared" si="13"/>
        <v>9.9560372653908852E-2</v>
      </c>
      <c r="H77" s="242">
        <f t="shared" si="14"/>
        <v>0.90043962734609118</v>
      </c>
      <c r="I77" s="157"/>
    </row>
    <row r="78" spans="1:9" ht="15.75" x14ac:dyDescent="0.25">
      <c r="A78" s="164"/>
      <c r="B78" s="165">
        <f>DATE(19,3,1)</f>
        <v>7000</v>
      </c>
      <c r="C78" s="226">
        <v>125771606.76000001</v>
      </c>
      <c r="D78" s="226">
        <v>12873586.439999999</v>
      </c>
      <c r="E78" s="226">
        <v>11915524.59</v>
      </c>
      <c r="F78" s="166">
        <f t="shared" si="12"/>
        <v>8.0404504456651843E-2</v>
      </c>
      <c r="G78" s="241">
        <f t="shared" si="13"/>
        <v>0.10235685757410769</v>
      </c>
      <c r="H78" s="242">
        <f t="shared" si="14"/>
        <v>0.89764314242589227</v>
      </c>
      <c r="I78" s="157"/>
    </row>
    <row r="79" spans="1:9" ht="15.75" x14ac:dyDescent="0.25">
      <c r="A79" s="164"/>
      <c r="B79" s="165">
        <f>DATE(19,4,1)</f>
        <v>7031</v>
      </c>
      <c r="C79" s="226">
        <v>107412743.27</v>
      </c>
      <c r="D79" s="226">
        <v>11149391.83</v>
      </c>
      <c r="E79" s="226">
        <v>11125906.65</v>
      </c>
      <c r="F79" s="166">
        <f t="shared" si="12"/>
        <v>2.1108553881314203E-3</v>
      </c>
      <c r="G79" s="241">
        <f t="shared" si="13"/>
        <v>0.10379952592751615</v>
      </c>
      <c r="H79" s="242">
        <f t="shared" si="14"/>
        <v>0.89620047407248382</v>
      </c>
      <c r="I79" s="157"/>
    </row>
    <row r="80" spans="1:9" ht="15.75" x14ac:dyDescent="0.25">
      <c r="A80" s="164"/>
      <c r="B80" s="165">
        <f>DATE(19,5,1)</f>
        <v>7061</v>
      </c>
      <c r="C80" s="226">
        <v>128915004.59</v>
      </c>
      <c r="D80" s="226">
        <v>12383402.07</v>
      </c>
      <c r="E80" s="226">
        <v>10440558.300000001</v>
      </c>
      <c r="F80" s="166">
        <f t="shared" si="12"/>
        <v>0.18608619521812347</v>
      </c>
      <c r="G80" s="241">
        <f t="shared" si="13"/>
        <v>9.6058655929028972E-2</v>
      </c>
      <c r="H80" s="242">
        <f t="shared" si="14"/>
        <v>0.90394134407097104</v>
      </c>
      <c r="I80" s="157"/>
    </row>
    <row r="81" spans="1:9" ht="15.75" x14ac:dyDescent="0.25">
      <c r="A81" s="164"/>
      <c r="B81" s="165">
        <f>DATE(19,6,1)</f>
        <v>7092</v>
      </c>
      <c r="C81" s="226">
        <v>120736368.7</v>
      </c>
      <c r="D81" s="226">
        <v>11519539.029999999</v>
      </c>
      <c r="E81" s="226">
        <v>11003330.560000001</v>
      </c>
      <c r="F81" s="166">
        <f t="shared" si="12"/>
        <v>4.691383824062801E-2</v>
      </c>
      <c r="G81" s="241">
        <f t="shared" si="13"/>
        <v>9.5410679930445844E-2</v>
      </c>
      <c r="H81" s="242">
        <f t="shared" si="14"/>
        <v>0.90458932006955417</v>
      </c>
      <c r="I81" s="157"/>
    </row>
    <row r="82" spans="1:9" ht="15.75" thickBot="1" x14ac:dyDescent="0.25">
      <c r="A82" s="167"/>
      <c r="B82" s="165"/>
      <c r="C82" s="226"/>
      <c r="D82" s="226"/>
      <c r="E82" s="226"/>
      <c r="F82" s="166"/>
      <c r="G82" s="241"/>
      <c r="H82" s="242"/>
      <c r="I82" s="157"/>
    </row>
    <row r="83" spans="1:9" ht="17.25" thickTop="1" thickBot="1" x14ac:dyDescent="0.3">
      <c r="A83" s="174" t="s">
        <v>14</v>
      </c>
      <c r="B83" s="175"/>
      <c r="C83" s="228">
        <f>SUM(C70:C82)</f>
        <v>1366638412.3599999</v>
      </c>
      <c r="D83" s="230">
        <f>SUM(D70:D82)</f>
        <v>135135153.75999999</v>
      </c>
      <c r="E83" s="271">
        <f>SUM(E70:E82)</f>
        <v>133221634.89000002</v>
      </c>
      <c r="F83" s="272">
        <f>(+D83-E83)/E83</f>
        <v>1.4363424316027584E-2</v>
      </c>
      <c r="G83" s="249">
        <f>D83/C83</f>
        <v>9.8881425063005388E-2</v>
      </c>
      <c r="H83" s="270">
        <f>1-G83</f>
        <v>0.90111857493699465</v>
      </c>
      <c r="I83" s="157"/>
    </row>
    <row r="84" spans="1:9" ht="15.75" thickTop="1" x14ac:dyDescent="0.2">
      <c r="A84" s="167"/>
      <c r="B84" s="168"/>
      <c r="C84" s="226"/>
      <c r="D84" s="226"/>
      <c r="E84" s="226"/>
      <c r="F84" s="166"/>
      <c r="G84" s="241"/>
      <c r="H84" s="242"/>
      <c r="I84" s="157"/>
    </row>
    <row r="85" spans="1:9" ht="15.75" x14ac:dyDescent="0.25">
      <c r="A85" s="164" t="s">
        <v>66</v>
      </c>
      <c r="B85" s="165">
        <f>DATE(18,7,1)</f>
        <v>6757</v>
      </c>
      <c r="C85" s="226">
        <v>43839500.539999999</v>
      </c>
      <c r="D85" s="226">
        <v>4536017.05</v>
      </c>
      <c r="E85" s="226">
        <v>4991725.4800000004</v>
      </c>
      <c r="F85" s="166">
        <f t="shared" ref="F85:F96" si="15">(+D85-E85)/E85</f>
        <v>-9.1292766764890398E-2</v>
      </c>
      <c r="G85" s="241">
        <f t="shared" ref="G85:G96" si="16">D85/C85</f>
        <v>0.10346872099651891</v>
      </c>
      <c r="H85" s="242">
        <f t="shared" ref="H85:H96" si="17">1-G85</f>
        <v>0.89653127900348106</v>
      </c>
      <c r="I85" s="157"/>
    </row>
    <row r="86" spans="1:9" ht="15.75" x14ac:dyDescent="0.25">
      <c r="A86" s="164"/>
      <c r="B86" s="165">
        <f>DATE(18,8,1)</f>
        <v>6788</v>
      </c>
      <c r="C86" s="226">
        <v>43029880.969999999</v>
      </c>
      <c r="D86" s="226">
        <v>4611969.17</v>
      </c>
      <c r="E86" s="226">
        <v>4592418.47</v>
      </c>
      <c r="F86" s="166">
        <f t="shared" si="15"/>
        <v>4.2571686634646317E-3</v>
      </c>
      <c r="G86" s="241">
        <f t="shared" si="16"/>
        <v>0.1071806164933484</v>
      </c>
      <c r="H86" s="242">
        <f t="shared" si="17"/>
        <v>0.89281938350665158</v>
      </c>
      <c r="I86" s="157"/>
    </row>
    <row r="87" spans="1:9" ht="15.75" x14ac:dyDescent="0.25">
      <c r="A87" s="164"/>
      <c r="B87" s="165">
        <f>DATE(18,9,1)</f>
        <v>6819</v>
      </c>
      <c r="C87" s="226">
        <v>42955268.140000001</v>
      </c>
      <c r="D87" s="226">
        <v>4472303.22</v>
      </c>
      <c r="E87" s="226">
        <v>5151289.25</v>
      </c>
      <c r="F87" s="166">
        <f t="shared" si="15"/>
        <v>-0.13180895054572994</v>
      </c>
      <c r="G87" s="241">
        <f t="shared" si="16"/>
        <v>0.10411536031910799</v>
      </c>
      <c r="H87" s="242">
        <f t="shared" si="17"/>
        <v>0.89588463968089205</v>
      </c>
      <c r="I87" s="157"/>
    </row>
    <row r="88" spans="1:9" ht="15.75" x14ac:dyDescent="0.25">
      <c r="A88" s="164"/>
      <c r="B88" s="165">
        <f>DATE(18,10,1)</f>
        <v>6849</v>
      </c>
      <c r="C88" s="226">
        <v>40582774.369999997</v>
      </c>
      <c r="D88" s="226">
        <v>4257625.9400000004</v>
      </c>
      <c r="E88" s="226">
        <v>4567525</v>
      </c>
      <c r="F88" s="166">
        <f t="shared" si="15"/>
        <v>-6.7848355509821975E-2</v>
      </c>
      <c r="G88" s="241">
        <f t="shared" si="16"/>
        <v>0.10491214575875239</v>
      </c>
      <c r="H88" s="242">
        <f t="shared" si="17"/>
        <v>0.89508785424124759</v>
      </c>
      <c r="I88" s="157"/>
    </row>
    <row r="89" spans="1:9" ht="15.75" x14ac:dyDescent="0.25">
      <c r="A89" s="164"/>
      <c r="B89" s="165">
        <f>DATE(18,11,1)</f>
        <v>6880</v>
      </c>
      <c r="C89" s="226">
        <v>42459394.159999996</v>
      </c>
      <c r="D89" s="226">
        <v>4366684.07</v>
      </c>
      <c r="E89" s="226">
        <v>4348004.21</v>
      </c>
      <c r="F89" s="166">
        <f t="shared" si="15"/>
        <v>4.296191792325872E-3</v>
      </c>
      <c r="G89" s="241">
        <f t="shared" si="16"/>
        <v>0.10284376770768321</v>
      </c>
      <c r="H89" s="242">
        <f t="shared" si="17"/>
        <v>0.89715623229231678</v>
      </c>
      <c r="I89" s="157"/>
    </row>
    <row r="90" spans="1:9" ht="15.75" x14ac:dyDescent="0.25">
      <c r="A90" s="164"/>
      <c r="B90" s="165">
        <f>DATE(18,12,1)</f>
        <v>6910</v>
      </c>
      <c r="C90" s="226">
        <v>48679067.109999999</v>
      </c>
      <c r="D90" s="226">
        <v>4828790.12</v>
      </c>
      <c r="E90" s="226">
        <v>4903510.72</v>
      </c>
      <c r="F90" s="166">
        <f t="shared" si="15"/>
        <v>-1.5238184286053653E-2</v>
      </c>
      <c r="G90" s="241">
        <f t="shared" si="16"/>
        <v>9.9196439181720386E-2</v>
      </c>
      <c r="H90" s="242">
        <f t="shared" si="17"/>
        <v>0.90080356081827961</v>
      </c>
      <c r="I90" s="157"/>
    </row>
    <row r="91" spans="1:9" ht="15.75" x14ac:dyDescent="0.25">
      <c r="A91" s="164"/>
      <c r="B91" s="165">
        <f>DATE(19,1,1)</f>
        <v>6941</v>
      </c>
      <c r="C91" s="226">
        <v>39173781.119999997</v>
      </c>
      <c r="D91" s="226">
        <v>4076690.38</v>
      </c>
      <c r="E91" s="226">
        <v>4062330.47</v>
      </c>
      <c r="F91" s="166">
        <f t="shared" si="15"/>
        <v>3.5348945897057172E-3</v>
      </c>
      <c r="G91" s="241">
        <f t="shared" si="16"/>
        <v>0.10406680855013671</v>
      </c>
      <c r="H91" s="242">
        <f t="shared" si="17"/>
        <v>0.89593319144986328</v>
      </c>
      <c r="I91" s="157"/>
    </row>
    <row r="92" spans="1:9" ht="15.75" x14ac:dyDescent="0.25">
      <c r="A92" s="164"/>
      <c r="B92" s="165">
        <f>DATE(19,2,1)</f>
        <v>6972</v>
      </c>
      <c r="C92" s="226">
        <v>45205373.259999998</v>
      </c>
      <c r="D92" s="226">
        <v>4582840.96</v>
      </c>
      <c r="E92" s="226">
        <v>4744487.6900000004</v>
      </c>
      <c r="F92" s="166">
        <f t="shared" si="15"/>
        <v>-3.4070428792702889E-2</v>
      </c>
      <c r="G92" s="241">
        <f t="shared" si="16"/>
        <v>0.10137823514124436</v>
      </c>
      <c r="H92" s="242">
        <f t="shared" si="17"/>
        <v>0.89862176485875567</v>
      </c>
      <c r="I92" s="157"/>
    </row>
    <row r="93" spans="1:9" ht="15.75" x14ac:dyDescent="0.25">
      <c r="A93" s="164"/>
      <c r="B93" s="165">
        <f>DATE(19,3,1)</f>
        <v>7000</v>
      </c>
      <c r="C93" s="226">
        <v>53688161.079999998</v>
      </c>
      <c r="D93" s="226">
        <v>5571169.2199999997</v>
      </c>
      <c r="E93" s="226">
        <v>5877350.3099999996</v>
      </c>
      <c r="F93" s="166">
        <f t="shared" si="15"/>
        <v>-5.2095089428147404E-2</v>
      </c>
      <c r="G93" s="241">
        <f t="shared" si="16"/>
        <v>0.10376904531519483</v>
      </c>
      <c r="H93" s="242">
        <f t="shared" si="17"/>
        <v>0.89623095468480518</v>
      </c>
      <c r="I93" s="157"/>
    </row>
    <row r="94" spans="1:9" ht="15.75" x14ac:dyDescent="0.25">
      <c r="A94" s="164"/>
      <c r="B94" s="165">
        <f>DATE(19,4,1)</f>
        <v>7031</v>
      </c>
      <c r="C94" s="226">
        <v>43911740.990000002</v>
      </c>
      <c r="D94" s="226">
        <v>4562955.4800000004</v>
      </c>
      <c r="E94" s="226">
        <v>4747529.41</v>
      </c>
      <c r="F94" s="166">
        <f t="shared" si="15"/>
        <v>-3.8877890805946516E-2</v>
      </c>
      <c r="G94" s="241">
        <f t="shared" si="16"/>
        <v>0.10391196926214152</v>
      </c>
      <c r="H94" s="242">
        <f t="shared" si="17"/>
        <v>0.89608803073785848</v>
      </c>
      <c r="I94" s="157"/>
    </row>
    <row r="95" spans="1:9" ht="15.75" x14ac:dyDescent="0.25">
      <c r="A95" s="164"/>
      <c r="B95" s="165">
        <f>DATE(19,5,1)</f>
        <v>7061</v>
      </c>
      <c r="C95" s="226">
        <v>46629909.689999998</v>
      </c>
      <c r="D95" s="226">
        <v>4716491.83</v>
      </c>
      <c r="E95" s="226">
        <v>4634427.4400000004</v>
      </c>
      <c r="F95" s="166">
        <f t="shared" si="15"/>
        <v>1.7707557419433813E-2</v>
      </c>
      <c r="G95" s="241">
        <f t="shared" si="16"/>
        <v>0.10114735073165869</v>
      </c>
      <c r="H95" s="242">
        <f t="shared" si="17"/>
        <v>0.8988526492683413</v>
      </c>
      <c r="I95" s="157"/>
    </row>
    <row r="96" spans="1:9" ht="15.75" x14ac:dyDescent="0.25">
      <c r="A96" s="164"/>
      <c r="B96" s="165">
        <f>DATE(19,6,1)</f>
        <v>7092</v>
      </c>
      <c r="C96" s="226">
        <v>39294761.240000002</v>
      </c>
      <c r="D96" s="226">
        <v>4049911.37</v>
      </c>
      <c r="E96" s="226">
        <v>4765361.83</v>
      </c>
      <c r="F96" s="166">
        <f t="shared" si="15"/>
        <v>-0.15013560051115782</v>
      </c>
      <c r="G96" s="241">
        <f t="shared" si="16"/>
        <v>0.10306491863544913</v>
      </c>
      <c r="H96" s="242">
        <f t="shared" si="17"/>
        <v>0.89693508136455091</v>
      </c>
      <c r="I96" s="157"/>
    </row>
    <row r="97" spans="1:9" ht="15.75" thickBot="1" x14ac:dyDescent="0.25">
      <c r="A97" s="167"/>
      <c r="B97" s="165"/>
      <c r="C97" s="226"/>
      <c r="D97" s="226"/>
      <c r="E97" s="226"/>
      <c r="F97" s="166"/>
      <c r="G97" s="241"/>
      <c r="H97" s="242"/>
      <c r="I97" s="157"/>
    </row>
    <row r="98" spans="1:9" ht="17.25" thickTop="1" thickBot="1" x14ac:dyDescent="0.3">
      <c r="A98" s="174" t="s">
        <v>14</v>
      </c>
      <c r="B98" s="175"/>
      <c r="C98" s="228">
        <f>SUM(C85:C97)</f>
        <v>529449612.66999996</v>
      </c>
      <c r="D98" s="230">
        <f>SUM(D85:D97)</f>
        <v>54633448.809999995</v>
      </c>
      <c r="E98" s="271">
        <f>SUM(E85:E97)</f>
        <v>57385960.280000001</v>
      </c>
      <c r="F98" s="272">
        <f>(+D98-E98)/E98</f>
        <v>-4.7964893443794197E-2</v>
      </c>
      <c r="G98" s="249">
        <f>D98/C98</f>
        <v>0.10318913736565979</v>
      </c>
      <c r="H98" s="270">
        <f>1-G98</f>
        <v>0.89681086263434018</v>
      </c>
      <c r="I98" s="157"/>
    </row>
    <row r="99" spans="1:9" ht="15.75" thickTop="1" x14ac:dyDescent="0.2">
      <c r="A99" s="167"/>
      <c r="B99" s="168"/>
      <c r="C99" s="226"/>
      <c r="D99" s="226"/>
      <c r="E99" s="226"/>
      <c r="F99" s="166"/>
      <c r="G99" s="241"/>
      <c r="H99" s="242"/>
      <c r="I99" s="157"/>
    </row>
    <row r="100" spans="1:9" ht="15.75" x14ac:dyDescent="0.25">
      <c r="A100" s="164" t="s">
        <v>17</v>
      </c>
      <c r="B100" s="165">
        <f>DATE(18,7,1)</f>
        <v>6757</v>
      </c>
      <c r="C100" s="226">
        <v>49505917.039999999</v>
      </c>
      <c r="D100" s="226">
        <v>5381167.3099999996</v>
      </c>
      <c r="E100" s="226">
        <v>5822170.9199999999</v>
      </c>
      <c r="F100" s="166">
        <f t="shared" ref="F100:F111" si="18">(+D100-E100)/E100</f>
        <v>-7.5745562275591927E-2</v>
      </c>
      <c r="G100" s="241">
        <f t="shared" ref="G100:G111" si="19">D100/C100</f>
        <v>0.10869745743023206</v>
      </c>
      <c r="H100" s="242">
        <f t="shared" ref="H100:H111" si="20">1-G100</f>
        <v>0.89130254256976793</v>
      </c>
      <c r="I100" s="157"/>
    </row>
    <row r="101" spans="1:9" ht="15.75" x14ac:dyDescent="0.25">
      <c r="A101" s="164"/>
      <c r="B101" s="165">
        <f>DATE(18,8,1)</f>
        <v>6788</v>
      </c>
      <c r="C101" s="226">
        <v>49219766.57</v>
      </c>
      <c r="D101" s="226">
        <v>5291596.82</v>
      </c>
      <c r="E101" s="226">
        <v>5584923.3300000001</v>
      </c>
      <c r="F101" s="166">
        <f t="shared" si="18"/>
        <v>-5.2521134609738639E-2</v>
      </c>
      <c r="G101" s="241">
        <f t="shared" si="19"/>
        <v>0.10750958789035152</v>
      </c>
      <c r="H101" s="242">
        <f t="shared" si="20"/>
        <v>0.89249041210964852</v>
      </c>
      <c r="I101" s="157"/>
    </row>
    <row r="102" spans="1:9" ht="15.75" x14ac:dyDescent="0.25">
      <c r="A102" s="164"/>
      <c r="B102" s="165">
        <f>DATE(18,9,1)</f>
        <v>6819</v>
      </c>
      <c r="C102" s="226">
        <v>46813151.350000001</v>
      </c>
      <c r="D102" s="226">
        <v>5027629.3</v>
      </c>
      <c r="E102" s="226">
        <v>5571414.2400000002</v>
      </c>
      <c r="F102" s="166">
        <f t="shared" si="18"/>
        <v>-9.7602676192319951E-2</v>
      </c>
      <c r="G102" s="241">
        <f t="shared" si="19"/>
        <v>0.10739779645276967</v>
      </c>
      <c r="H102" s="242">
        <f t="shared" si="20"/>
        <v>0.8926022035472303</v>
      </c>
      <c r="I102" s="157"/>
    </row>
    <row r="103" spans="1:9" ht="15.75" x14ac:dyDescent="0.25">
      <c r="A103" s="164"/>
      <c r="B103" s="165">
        <f>DATE(18,10,1)</f>
        <v>6849</v>
      </c>
      <c r="C103" s="226">
        <v>46725704.259999998</v>
      </c>
      <c r="D103" s="226">
        <v>5016135.3</v>
      </c>
      <c r="E103" s="226">
        <v>5441119.0599999996</v>
      </c>
      <c r="F103" s="166">
        <f t="shared" si="18"/>
        <v>-7.8105947565867043E-2</v>
      </c>
      <c r="G103" s="241">
        <f t="shared" si="19"/>
        <v>0.10735280247651852</v>
      </c>
      <c r="H103" s="242">
        <f t="shared" si="20"/>
        <v>0.89264719752348154</v>
      </c>
      <c r="I103" s="157"/>
    </row>
    <row r="104" spans="1:9" ht="15.75" x14ac:dyDescent="0.25">
      <c r="A104" s="164"/>
      <c r="B104" s="165">
        <f>DATE(18,11,1)</f>
        <v>6880</v>
      </c>
      <c r="C104" s="226">
        <v>42300709.460000001</v>
      </c>
      <c r="D104" s="226">
        <v>4899996.9800000004</v>
      </c>
      <c r="E104" s="226">
        <v>5393254.4000000004</v>
      </c>
      <c r="F104" s="166">
        <f t="shared" si="18"/>
        <v>-9.1458214913800448E-2</v>
      </c>
      <c r="G104" s="241">
        <f t="shared" si="19"/>
        <v>0.11583722926996035</v>
      </c>
      <c r="H104" s="242">
        <f t="shared" si="20"/>
        <v>0.88416277073003968</v>
      </c>
      <c r="I104" s="157"/>
    </row>
    <row r="105" spans="1:9" ht="15.75" x14ac:dyDescent="0.25">
      <c r="A105" s="164"/>
      <c r="B105" s="165">
        <f>DATE(18,12,1)</f>
        <v>6910</v>
      </c>
      <c r="C105" s="226">
        <v>46873294.240000002</v>
      </c>
      <c r="D105" s="226">
        <v>5247804.62</v>
      </c>
      <c r="E105" s="226">
        <v>5595361.4299999997</v>
      </c>
      <c r="F105" s="166">
        <f t="shared" si="18"/>
        <v>-6.2115167062585915E-2</v>
      </c>
      <c r="G105" s="241">
        <f t="shared" si="19"/>
        <v>0.11195723929985084</v>
      </c>
      <c r="H105" s="242">
        <f t="shared" si="20"/>
        <v>0.8880427607001492</v>
      </c>
      <c r="I105" s="157"/>
    </row>
    <row r="106" spans="1:9" ht="15.75" x14ac:dyDescent="0.25">
      <c r="A106" s="164"/>
      <c r="B106" s="165">
        <f>DATE(19,1,1)</f>
        <v>6941</v>
      </c>
      <c r="C106" s="226">
        <v>41050062.549999997</v>
      </c>
      <c r="D106" s="226">
        <v>4473121.8099999996</v>
      </c>
      <c r="E106" s="226">
        <v>5047120.87</v>
      </c>
      <c r="F106" s="166">
        <f t="shared" si="18"/>
        <v>-0.11372801935690525</v>
      </c>
      <c r="G106" s="241">
        <f t="shared" si="19"/>
        <v>0.10896747854041942</v>
      </c>
      <c r="H106" s="242">
        <f t="shared" si="20"/>
        <v>0.89103252145958056</v>
      </c>
      <c r="I106" s="157"/>
    </row>
    <row r="107" spans="1:9" ht="15.75" x14ac:dyDescent="0.25">
      <c r="A107" s="164"/>
      <c r="B107" s="165">
        <f>DATE(19,2,1)</f>
        <v>6972</v>
      </c>
      <c r="C107" s="226">
        <v>43373573.409999996</v>
      </c>
      <c r="D107" s="226">
        <v>4898275.7699999996</v>
      </c>
      <c r="E107" s="226">
        <v>5208050.55</v>
      </c>
      <c r="F107" s="166">
        <f t="shared" si="18"/>
        <v>-5.9479987190216556E-2</v>
      </c>
      <c r="G107" s="241">
        <f t="shared" si="19"/>
        <v>0.11293226231783515</v>
      </c>
      <c r="H107" s="242">
        <f t="shared" si="20"/>
        <v>0.88706773768216485</v>
      </c>
      <c r="I107" s="157"/>
    </row>
    <row r="108" spans="1:9" ht="15.75" x14ac:dyDescent="0.25">
      <c r="A108" s="164"/>
      <c r="B108" s="165">
        <f>DATE(19,3,1)</f>
        <v>7000</v>
      </c>
      <c r="C108" s="226">
        <v>56103618.450000003</v>
      </c>
      <c r="D108" s="226">
        <v>6230162.5899999999</v>
      </c>
      <c r="E108" s="226">
        <v>6546343.5599999996</v>
      </c>
      <c r="F108" s="166">
        <f t="shared" si="18"/>
        <v>-4.8298865939752141E-2</v>
      </c>
      <c r="G108" s="241">
        <f t="shared" si="19"/>
        <v>0.11104742906292882</v>
      </c>
      <c r="H108" s="242">
        <f t="shared" si="20"/>
        <v>0.88895257093707114</v>
      </c>
      <c r="I108" s="157"/>
    </row>
    <row r="109" spans="1:9" ht="15.75" x14ac:dyDescent="0.25">
      <c r="A109" s="164"/>
      <c r="B109" s="165">
        <f>DATE(19,4,1)</f>
        <v>7031</v>
      </c>
      <c r="C109" s="226">
        <v>48299383.799999997</v>
      </c>
      <c r="D109" s="226">
        <v>5350332.9000000004</v>
      </c>
      <c r="E109" s="226">
        <v>5597873.2000000002</v>
      </c>
      <c r="F109" s="166">
        <f t="shared" si="18"/>
        <v>-4.422041928352357E-2</v>
      </c>
      <c r="G109" s="241">
        <f t="shared" si="19"/>
        <v>0.11077435112122488</v>
      </c>
      <c r="H109" s="242">
        <f t="shared" si="20"/>
        <v>0.88922564887877509</v>
      </c>
      <c r="I109" s="157"/>
    </row>
    <row r="110" spans="1:9" ht="15.75" x14ac:dyDescent="0.25">
      <c r="A110" s="164"/>
      <c r="B110" s="165">
        <f>DATE(19,5,1)</f>
        <v>7061</v>
      </c>
      <c r="C110" s="226">
        <v>51155009.939999998</v>
      </c>
      <c r="D110" s="226">
        <v>5713926.5300000003</v>
      </c>
      <c r="E110" s="226">
        <v>5227940.91</v>
      </c>
      <c r="F110" s="166">
        <f t="shared" si="18"/>
        <v>9.2959279449851343E-2</v>
      </c>
      <c r="G110" s="241">
        <f t="shared" si="19"/>
        <v>0.11169827816868567</v>
      </c>
      <c r="H110" s="242">
        <f t="shared" si="20"/>
        <v>0.88830172183131428</v>
      </c>
      <c r="I110" s="157"/>
    </row>
    <row r="111" spans="1:9" ht="15.75" x14ac:dyDescent="0.25">
      <c r="A111" s="164"/>
      <c r="B111" s="165">
        <f>DATE(19,6,1)</f>
        <v>7092</v>
      </c>
      <c r="C111" s="226">
        <v>46195104.659999996</v>
      </c>
      <c r="D111" s="226">
        <v>5198323.91</v>
      </c>
      <c r="E111" s="226">
        <v>5547155.2400000002</v>
      </c>
      <c r="F111" s="166">
        <f t="shared" si="18"/>
        <v>-6.2884724675561818E-2</v>
      </c>
      <c r="G111" s="241">
        <f t="shared" si="19"/>
        <v>0.11252975717362516</v>
      </c>
      <c r="H111" s="242">
        <f t="shared" si="20"/>
        <v>0.88747024282637488</v>
      </c>
      <c r="I111" s="157"/>
    </row>
    <row r="112" spans="1:9" ht="15.75" thickBot="1" x14ac:dyDescent="0.25">
      <c r="A112" s="167"/>
      <c r="B112" s="165"/>
      <c r="C112" s="226"/>
      <c r="D112" s="226"/>
      <c r="E112" s="226"/>
      <c r="F112" s="166"/>
      <c r="G112" s="241"/>
      <c r="H112" s="242"/>
      <c r="I112" s="157"/>
    </row>
    <row r="113" spans="1:9" ht="17.25" thickTop="1" thickBot="1" x14ac:dyDescent="0.3">
      <c r="A113" s="174" t="s">
        <v>14</v>
      </c>
      <c r="B113" s="175"/>
      <c r="C113" s="228">
        <f>SUM(C100:C112)</f>
        <v>567615295.73000002</v>
      </c>
      <c r="D113" s="230">
        <f>SUM(D100:D112)</f>
        <v>62728473.840000004</v>
      </c>
      <c r="E113" s="271">
        <f>SUM(E100:E112)</f>
        <v>66582727.710000001</v>
      </c>
      <c r="F113" s="272">
        <f>(+D113-E113)/E113</f>
        <v>-5.7886692278320856E-2</v>
      </c>
      <c r="G113" s="249">
        <f>D113/C113</f>
        <v>0.11051230351240979</v>
      </c>
      <c r="H113" s="270">
        <f>1-G113</f>
        <v>0.88948769648759018</v>
      </c>
      <c r="I113" s="157"/>
    </row>
    <row r="114" spans="1:9" ht="15.75" thickTop="1" x14ac:dyDescent="0.2">
      <c r="A114" s="167"/>
      <c r="B114" s="168"/>
      <c r="C114" s="226"/>
      <c r="D114" s="226"/>
      <c r="E114" s="226"/>
      <c r="F114" s="166"/>
      <c r="G114" s="241"/>
      <c r="H114" s="242"/>
      <c r="I114" s="157"/>
    </row>
    <row r="115" spans="1:9" ht="15.75" x14ac:dyDescent="0.25">
      <c r="A115" s="164" t="s">
        <v>67</v>
      </c>
      <c r="B115" s="165">
        <f>DATE(18,7,1)</f>
        <v>6757</v>
      </c>
      <c r="C115" s="226">
        <v>116042592.23</v>
      </c>
      <c r="D115" s="226">
        <v>11368416.640000001</v>
      </c>
      <c r="E115" s="226">
        <v>10117966.68</v>
      </c>
      <c r="F115" s="166">
        <f t="shared" ref="F115:F126" si="21">(+D115-E115)/E115</f>
        <v>0.12358708024525743</v>
      </c>
      <c r="G115" s="241">
        <f t="shared" ref="G115:G126" si="22">D115/C115</f>
        <v>9.7967620522191087E-2</v>
      </c>
      <c r="H115" s="242">
        <f t="shared" ref="H115:H126" si="23">1-G115</f>
        <v>0.9020323794778089</v>
      </c>
      <c r="I115" s="157"/>
    </row>
    <row r="116" spans="1:9" ht="15.75" x14ac:dyDescent="0.25">
      <c r="A116" s="164"/>
      <c r="B116" s="165">
        <f>DATE(18,8,1)</f>
        <v>6788</v>
      </c>
      <c r="C116" s="226">
        <v>116465353.84</v>
      </c>
      <c r="D116" s="226">
        <v>11900739.720000001</v>
      </c>
      <c r="E116" s="226">
        <v>10081520.41</v>
      </c>
      <c r="F116" s="166">
        <f t="shared" si="21"/>
        <v>0.18045088796284056</v>
      </c>
      <c r="G116" s="241">
        <f t="shared" si="22"/>
        <v>0.10218266057345454</v>
      </c>
      <c r="H116" s="242">
        <f t="shared" si="23"/>
        <v>0.8978173394265454</v>
      </c>
      <c r="I116" s="157"/>
    </row>
    <row r="117" spans="1:9" ht="15.75" x14ac:dyDescent="0.25">
      <c r="A117" s="164"/>
      <c r="B117" s="165">
        <f>DATE(18,9,1)</f>
        <v>6819</v>
      </c>
      <c r="C117" s="226">
        <v>111448034.52</v>
      </c>
      <c r="D117" s="226">
        <v>10737435.65</v>
      </c>
      <c r="E117" s="226">
        <v>9642813.3599999994</v>
      </c>
      <c r="F117" s="166">
        <f t="shared" si="21"/>
        <v>0.11351690104681245</v>
      </c>
      <c r="G117" s="241">
        <f t="shared" si="22"/>
        <v>9.6344773564159228E-2</v>
      </c>
      <c r="H117" s="242">
        <f t="shared" si="23"/>
        <v>0.90365522643584073</v>
      </c>
      <c r="I117" s="157"/>
    </row>
    <row r="118" spans="1:9" ht="15.75" x14ac:dyDescent="0.25">
      <c r="A118" s="164"/>
      <c r="B118" s="165">
        <f>DATE(18,10,1)</f>
        <v>6849</v>
      </c>
      <c r="C118" s="226">
        <v>108094900.66</v>
      </c>
      <c r="D118" s="226">
        <v>10634805.060000001</v>
      </c>
      <c r="E118" s="226">
        <v>9440836.5399999991</v>
      </c>
      <c r="F118" s="166">
        <f t="shared" si="21"/>
        <v>0.12646850890186068</v>
      </c>
      <c r="G118" s="241">
        <f t="shared" si="22"/>
        <v>9.8383966265444378E-2</v>
      </c>
      <c r="H118" s="242">
        <f t="shared" si="23"/>
        <v>0.90161603373455557</v>
      </c>
      <c r="I118" s="157"/>
    </row>
    <row r="119" spans="1:9" ht="15.75" x14ac:dyDescent="0.25">
      <c r="A119" s="164"/>
      <c r="B119" s="165">
        <f>DATE(18,11,1)</f>
        <v>6880</v>
      </c>
      <c r="C119" s="226">
        <v>109404617.43000001</v>
      </c>
      <c r="D119" s="226">
        <v>10364939.92</v>
      </c>
      <c r="E119" s="226">
        <v>9748688.0700000003</v>
      </c>
      <c r="F119" s="166">
        <f t="shared" si="21"/>
        <v>6.3213823806345215E-2</v>
      </c>
      <c r="G119" s="241">
        <f t="shared" si="22"/>
        <v>9.4739510666739135E-2</v>
      </c>
      <c r="H119" s="242">
        <f t="shared" si="23"/>
        <v>0.90526048933326086</v>
      </c>
      <c r="I119" s="157"/>
    </row>
    <row r="120" spans="1:9" ht="15.75" x14ac:dyDescent="0.25">
      <c r="A120" s="164"/>
      <c r="B120" s="165">
        <f>DATE(18,12,1)</f>
        <v>6910</v>
      </c>
      <c r="C120" s="226">
        <v>117265837.39</v>
      </c>
      <c r="D120" s="226">
        <v>11597435.08</v>
      </c>
      <c r="E120" s="226">
        <v>10597064.9</v>
      </c>
      <c r="F120" s="166">
        <f t="shared" si="21"/>
        <v>9.4400684476321328E-2</v>
      </c>
      <c r="G120" s="241">
        <f t="shared" si="22"/>
        <v>9.889866766080832E-2</v>
      </c>
      <c r="H120" s="242">
        <f t="shared" si="23"/>
        <v>0.90110133233919165</v>
      </c>
      <c r="I120" s="157"/>
    </row>
    <row r="121" spans="1:9" ht="15.75" x14ac:dyDescent="0.25">
      <c r="A121" s="164"/>
      <c r="B121" s="165">
        <f>DATE(19,1,1)</f>
        <v>6941</v>
      </c>
      <c r="C121" s="226">
        <v>99792067.159999996</v>
      </c>
      <c r="D121" s="226">
        <v>9957126.1899999995</v>
      </c>
      <c r="E121" s="226">
        <v>10120620.01</v>
      </c>
      <c r="F121" s="166">
        <f t="shared" si="21"/>
        <v>-1.615452609014616E-2</v>
      </c>
      <c r="G121" s="241">
        <f t="shared" si="22"/>
        <v>9.9778734656687712E-2</v>
      </c>
      <c r="H121" s="242">
        <f t="shared" si="23"/>
        <v>0.90022126534331226</v>
      </c>
      <c r="I121" s="157"/>
    </row>
    <row r="122" spans="1:9" ht="15.75" x14ac:dyDescent="0.25">
      <c r="A122" s="164"/>
      <c r="B122" s="165">
        <f>DATE(19,2,1)</f>
        <v>6972</v>
      </c>
      <c r="C122" s="226">
        <v>99240269.219999999</v>
      </c>
      <c r="D122" s="226">
        <v>10422099.199999999</v>
      </c>
      <c r="E122" s="226">
        <v>11560671.16</v>
      </c>
      <c r="F122" s="166">
        <f t="shared" si="21"/>
        <v>-9.8486666063080097E-2</v>
      </c>
      <c r="G122" s="241">
        <f t="shared" si="22"/>
        <v>0.10501885254760698</v>
      </c>
      <c r="H122" s="242">
        <f t="shared" si="23"/>
        <v>0.89498114745239299</v>
      </c>
      <c r="I122" s="157"/>
    </row>
    <row r="123" spans="1:9" ht="15.75" x14ac:dyDescent="0.25">
      <c r="A123" s="164"/>
      <c r="B123" s="165">
        <f>DATE(19,3,1)</f>
        <v>7000</v>
      </c>
      <c r="C123" s="226">
        <v>128530416.45</v>
      </c>
      <c r="D123" s="226">
        <v>13240355.48</v>
      </c>
      <c r="E123" s="226">
        <v>13834359.939999999</v>
      </c>
      <c r="F123" s="166">
        <f t="shared" si="21"/>
        <v>-4.2936894990170324E-2</v>
      </c>
      <c r="G123" s="241">
        <f t="shared" si="22"/>
        <v>0.10301340216345344</v>
      </c>
      <c r="H123" s="242">
        <f t="shared" si="23"/>
        <v>0.89698659783654655</v>
      </c>
      <c r="I123" s="157"/>
    </row>
    <row r="124" spans="1:9" ht="15.75" x14ac:dyDescent="0.25">
      <c r="A124" s="164"/>
      <c r="B124" s="165">
        <f>DATE(19,4,1)</f>
        <v>7031</v>
      </c>
      <c r="C124" s="226">
        <v>108252448.84</v>
      </c>
      <c r="D124" s="226">
        <v>10454491.310000001</v>
      </c>
      <c r="E124" s="226">
        <v>12018253.029999999</v>
      </c>
      <c r="F124" s="166">
        <f t="shared" si="21"/>
        <v>-0.1301155597320619</v>
      </c>
      <c r="G124" s="241">
        <f t="shared" si="22"/>
        <v>9.6575102198861257E-2</v>
      </c>
      <c r="H124" s="242">
        <f t="shared" si="23"/>
        <v>0.90342489780113877</v>
      </c>
      <c r="I124" s="157"/>
    </row>
    <row r="125" spans="1:9" ht="15.75" x14ac:dyDescent="0.25">
      <c r="A125" s="164"/>
      <c r="B125" s="165">
        <f>DATE(19,5,1)</f>
        <v>7061</v>
      </c>
      <c r="C125" s="226">
        <v>115086805.44</v>
      </c>
      <c r="D125" s="226">
        <v>11575440.460000001</v>
      </c>
      <c r="E125" s="226">
        <v>11899786.960000001</v>
      </c>
      <c r="F125" s="166">
        <f t="shared" si="21"/>
        <v>-2.7256496363360104E-2</v>
      </c>
      <c r="G125" s="241">
        <f t="shared" si="22"/>
        <v>0.10058008314458608</v>
      </c>
      <c r="H125" s="242">
        <f t="shared" si="23"/>
        <v>0.89941991685541389</v>
      </c>
      <c r="I125" s="157"/>
    </row>
    <row r="126" spans="1:9" ht="15.75" x14ac:dyDescent="0.25">
      <c r="A126" s="164"/>
      <c r="B126" s="165">
        <f>DATE(19,6,1)</f>
        <v>7092</v>
      </c>
      <c r="C126" s="226">
        <v>112571009.28</v>
      </c>
      <c r="D126" s="226">
        <v>11324177.66</v>
      </c>
      <c r="E126" s="226">
        <v>12293253.68</v>
      </c>
      <c r="F126" s="166">
        <f t="shared" si="21"/>
        <v>-7.8829905021532073E-2</v>
      </c>
      <c r="G126" s="241">
        <f t="shared" si="22"/>
        <v>0.10059586151380377</v>
      </c>
      <c r="H126" s="242">
        <f t="shared" si="23"/>
        <v>0.89940413848619627</v>
      </c>
      <c r="I126" s="157"/>
    </row>
    <row r="127" spans="1:9" ht="15.75" thickBot="1" x14ac:dyDescent="0.25">
      <c r="A127" s="167"/>
      <c r="B127" s="165"/>
      <c r="C127" s="226"/>
      <c r="D127" s="226"/>
      <c r="E127" s="226"/>
      <c r="F127" s="166"/>
      <c r="G127" s="241"/>
      <c r="H127" s="242"/>
      <c r="I127" s="157"/>
    </row>
    <row r="128" spans="1:9" ht="17.25" thickTop="1" thickBot="1" x14ac:dyDescent="0.3">
      <c r="A128" s="174" t="s">
        <v>14</v>
      </c>
      <c r="B128" s="175"/>
      <c r="C128" s="228">
        <f>SUM(C115:C127)</f>
        <v>1342194352.46</v>
      </c>
      <c r="D128" s="230">
        <f>SUM(D115:D127)</f>
        <v>133577462.37</v>
      </c>
      <c r="E128" s="271">
        <f>SUM(E115:E127)</f>
        <v>131355834.74000001</v>
      </c>
      <c r="F128" s="176">
        <f>(+D128-E128)/E128</f>
        <v>1.6913048700100668E-2</v>
      </c>
      <c r="G128" s="249">
        <f>D128/C128</f>
        <v>9.9521699018608314E-2</v>
      </c>
      <c r="H128" s="270">
        <f>1-G128</f>
        <v>0.9004783009813917</v>
      </c>
      <c r="I128" s="157"/>
    </row>
    <row r="129" spans="1:9" ht="15.75" thickTop="1" x14ac:dyDescent="0.2">
      <c r="A129" s="167"/>
      <c r="B129" s="179"/>
      <c r="C129" s="229"/>
      <c r="D129" s="229"/>
      <c r="E129" s="229"/>
      <c r="F129" s="180"/>
      <c r="G129" s="247"/>
      <c r="H129" s="248"/>
      <c r="I129" s="157"/>
    </row>
    <row r="130" spans="1:9" ht="15.75" x14ac:dyDescent="0.25">
      <c r="A130" s="164" t="s">
        <v>18</v>
      </c>
      <c r="B130" s="165">
        <f>DATE(18,7,1)</f>
        <v>6757</v>
      </c>
      <c r="C130" s="226">
        <v>150620962.91</v>
      </c>
      <c r="D130" s="226">
        <v>14899456.869999999</v>
      </c>
      <c r="E130" s="226">
        <v>13990899.67</v>
      </c>
      <c r="F130" s="166">
        <f t="shared" ref="F130:F141" si="24">(+D130-E130)/E130</f>
        <v>6.493915483849648E-2</v>
      </c>
      <c r="G130" s="241">
        <f t="shared" ref="G130:G141" si="25">D130/C130</f>
        <v>9.8920207268246046E-2</v>
      </c>
      <c r="H130" s="242">
        <f t="shared" ref="H130:H141" si="26">1-G130</f>
        <v>0.90107979273175398</v>
      </c>
      <c r="I130" s="157"/>
    </row>
    <row r="131" spans="1:9" ht="15.75" x14ac:dyDescent="0.25">
      <c r="A131" s="164"/>
      <c r="B131" s="165">
        <f>DATE(18,8,1)</f>
        <v>6788</v>
      </c>
      <c r="C131" s="226">
        <v>151491190.93000001</v>
      </c>
      <c r="D131" s="226">
        <v>14829432.529999999</v>
      </c>
      <c r="E131" s="226">
        <v>13373041.550000001</v>
      </c>
      <c r="F131" s="166">
        <f t="shared" si="24"/>
        <v>0.10890499177429075</v>
      </c>
      <c r="G131" s="241">
        <f t="shared" si="25"/>
        <v>9.7889734967178912E-2</v>
      </c>
      <c r="H131" s="242">
        <f t="shared" si="26"/>
        <v>0.9021102650328211</v>
      </c>
      <c r="I131" s="157"/>
    </row>
    <row r="132" spans="1:9" ht="15.75" x14ac:dyDescent="0.25">
      <c r="A132" s="164"/>
      <c r="B132" s="165">
        <f>DATE(18,9,1)</f>
        <v>6819</v>
      </c>
      <c r="C132" s="226">
        <v>146030772.52000001</v>
      </c>
      <c r="D132" s="226">
        <v>13962276.199999999</v>
      </c>
      <c r="E132" s="226">
        <v>13392030.43</v>
      </c>
      <c r="F132" s="166">
        <f t="shared" si="24"/>
        <v>4.2580979260812474E-2</v>
      </c>
      <c r="G132" s="241">
        <f t="shared" si="25"/>
        <v>9.5611876586407574E-2</v>
      </c>
      <c r="H132" s="242">
        <f t="shared" si="26"/>
        <v>0.90438812341359243</v>
      </c>
      <c r="I132" s="157"/>
    </row>
    <row r="133" spans="1:9" ht="15.75" x14ac:dyDescent="0.25">
      <c r="A133" s="164"/>
      <c r="B133" s="165">
        <f>DATE(18,10,1)</f>
        <v>6849</v>
      </c>
      <c r="C133" s="226">
        <v>136339674.75</v>
      </c>
      <c r="D133" s="226">
        <v>13179828.550000001</v>
      </c>
      <c r="E133" s="226">
        <v>12769108.560000001</v>
      </c>
      <c r="F133" s="166">
        <f t="shared" si="24"/>
        <v>3.2165126333611516E-2</v>
      </c>
      <c r="G133" s="241">
        <f t="shared" si="25"/>
        <v>9.6669062576005604E-2</v>
      </c>
      <c r="H133" s="242">
        <f t="shared" si="26"/>
        <v>0.9033309374239944</v>
      </c>
      <c r="I133" s="157"/>
    </row>
    <row r="134" spans="1:9" ht="15.75" x14ac:dyDescent="0.25">
      <c r="A134" s="164"/>
      <c r="B134" s="165">
        <f>DATE(18,11,1)</f>
        <v>6880</v>
      </c>
      <c r="C134" s="226">
        <v>130209291.22</v>
      </c>
      <c r="D134" s="226">
        <v>12404366.57</v>
      </c>
      <c r="E134" s="226">
        <v>12739975.57</v>
      </c>
      <c r="F134" s="166">
        <f t="shared" si="24"/>
        <v>-2.6342986150639847E-2</v>
      </c>
      <c r="G134" s="241">
        <f t="shared" si="25"/>
        <v>9.5264834435215051E-2</v>
      </c>
      <c r="H134" s="242">
        <f t="shared" si="26"/>
        <v>0.90473516556478495</v>
      </c>
      <c r="I134" s="157"/>
    </row>
    <row r="135" spans="1:9" ht="15.75" x14ac:dyDescent="0.25">
      <c r="A135" s="164"/>
      <c r="B135" s="165">
        <f>DATE(18,12,1)</f>
        <v>6910</v>
      </c>
      <c r="C135" s="226">
        <v>148668507.31</v>
      </c>
      <c r="D135" s="226">
        <v>14279714.560000001</v>
      </c>
      <c r="E135" s="226">
        <v>13705331.41</v>
      </c>
      <c r="F135" s="166">
        <f t="shared" si="24"/>
        <v>4.1909468134488571E-2</v>
      </c>
      <c r="G135" s="241">
        <f t="shared" si="25"/>
        <v>9.6050702454584302E-2</v>
      </c>
      <c r="H135" s="242">
        <f t="shared" si="26"/>
        <v>0.90394929754541575</v>
      </c>
      <c r="I135" s="157"/>
    </row>
    <row r="136" spans="1:9" ht="15.75" x14ac:dyDescent="0.25">
      <c r="A136" s="164"/>
      <c r="B136" s="165">
        <f>DATE(19,1,1)</f>
        <v>6941</v>
      </c>
      <c r="C136" s="226">
        <v>125103165.66</v>
      </c>
      <c r="D136" s="226">
        <v>12070419.859999999</v>
      </c>
      <c r="E136" s="226">
        <v>12314929.470000001</v>
      </c>
      <c r="F136" s="166">
        <f t="shared" si="24"/>
        <v>-1.9854730844837007E-2</v>
      </c>
      <c r="G136" s="241">
        <f t="shared" si="25"/>
        <v>9.6483728419826456E-2</v>
      </c>
      <c r="H136" s="242">
        <f t="shared" si="26"/>
        <v>0.90351627158017356</v>
      </c>
      <c r="I136" s="157"/>
    </row>
    <row r="137" spans="1:9" ht="15.75" x14ac:dyDescent="0.25">
      <c r="A137" s="164"/>
      <c r="B137" s="165">
        <f>DATE(19,2,1)</f>
        <v>6972</v>
      </c>
      <c r="C137" s="226">
        <v>129874405.7</v>
      </c>
      <c r="D137" s="226">
        <v>12585263.32</v>
      </c>
      <c r="E137" s="226">
        <v>12905800.560000001</v>
      </c>
      <c r="F137" s="166">
        <f t="shared" si="24"/>
        <v>-2.4836680104407271E-2</v>
      </c>
      <c r="G137" s="241">
        <f t="shared" si="25"/>
        <v>9.6903337129187722E-2</v>
      </c>
      <c r="H137" s="242">
        <f t="shared" si="26"/>
        <v>0.90309666287081225</v>
      </c>
      <c r="I137" s="157"/>
    </row>
    <row r="138" spans="1:9" ht="15.75" x14ac:dyDescent="0.25">
      <c r="A138" s="164"/>
      <c r="B138" s="165">
        <f>DATE(19,3,1)</f>
        <v>7000</v>
      </c>
      <c r="C138" s="226">
        <v>165812175.84999999</v>
      </c>
      <c r="D138" s="226">
        <v>15794237.699999999</v>
      </c>
      <c r="E138" s="226">
        <v>15707751.75</v>
      </c>
      <c r="F138" s="166">
        <f t="shared" si="24"/>
        <v>5.5059407212747205E-3</v>
      </c>
      <c r="G138" s="241">
        <f t="shared" si="25"/>
        <v>9.5253787118070671E-2</v>
      </c>
      <c r="H138" s="242">
        <f t="shared" si="26"/>
        <v>0.90474621288192936</v>
      </c>
      <c r="I138" s="157"/>
    </row>
    <row r="139" spans="1:9" ht="15.75" x14ac:dyDescent="0.25">
      <c r="A139" s="164"/>
      <c r="B139" s="165">
        <f>DATE(19,4,1)</f>
        <v>7031</v>
      </c>
      <c r="C139" s="226">
        <v>141805326.27000001</v>
      </c>
      <c r="D139" s="226">
        <v>13446875.85</v>
      </c>
      <c r="E139" s="226">
        <v>13931794.98</v>
      </c>
      <c r="F139" s="166">
        <f t="shared" si="24"/>
        <v>-3.4806651310626796E-2</v>
      </c>
      <c r="G139" s="241">
        <f t="shared" si="25"/>
        <v>9.4826310151403581E-2</v>
      </c>
      <c r="H139" s="242">
        <f t="shared" si="26"/>
        <v>0.90517368984859647</v>
      </c>
      <c r="I139" s="157"/>
    </row>
    <row r="140" spans="1:9" ht="15.75" x14ac:dyDescent="0.25">
      <c r="A140" s="164"/>
      <c r="B140" s="165">
        <f>DATE(19,5,1)</f>
        <v>7061</v>
      </c>
      <c r="C140" s="226">
        <v>147111189.28999999</v>
      </c>
      <c r="D140" s="226">
        <v>14014029.960000001</v>
      </c>
      <c r="E140" s="226">
        <v>14043474.58</v>
      </c>
      <c r="F140" s="166">
        <f t="shared" si="24"/>
        <v>-2.0966762771040086E-3</v>
      </c>
      <c r="G140" s="241">
        <f t="shared" si="25"/>
        <v>9.5261482336154404E-2</v>
      </c>
      <c r="H140" s="242">
        <f t="shared" si="26"/>
        <v>0.90473851766384561</v>
      </c>
      <c r="I140" s="157"/>
    </row>
    <row r="141" spans="1:9" ht="15.75" x14ac:dyDescent="0.25">
      <c r="A141" s="164"/>
      <c r="B141" s="165">
        <f>DATE(19,6,1)</f>
        <v>7092</v>
      </c>
      <c r="C141" s="226">
        <v>142190592.06999999</v>
      </c>
      <c r="D141" s="226">
        <v>13442309.91</v>
      </c>
      <c r="E141" s="226">
        <v>13935807.68</v>
      </c>
      <c r="F141" s="166">
        <f t="shared" si="24"/>
        <v>-3.5412211572655658E-2</v>
      </c>
      <c r="G141" s="241">
        <f t="shared" si="25"/>
        <v>9.4537266596248448E-2</v>
      </c>
      <c r="H141" s="242">
        <f t="shared" si="26"/>
        <v>0.9054627334037515</v>
      </c>
      <c r="I141" s="157"/>
    </row>
    <row r="142" spans="1:9" ht="15.75" customHeight="1" thickBot="1" x14ac:dyDescent="0.3">
      <c r="A142" s="164"/>
      <c r="B142" s="165"/>
      <c r="C142" s="226"/>
      <c r="D142" s="226"/>
      <c r="E142" s="226"/>
      <c r="F142" s="166"/>
      <c r="G142" s="241"/>
      <c r="H142" s="242"/>
      <c r="I142" s="157"/>
    </row>
    <row r="143" spans="1:9" ht="17.25" thickTop="1" thickBot="1" x14ac:dyDescent="0.3">
      <c r="A143" s="174" t="s">
        <v>14</v>
      </c>
      <c r="B143" s="181"/>
      <c r="C143" s="228">
        <f>SUM(C130:C142)</f>
        <v>1715257254.4799998</v>
      </c>
      <c r="D143" s="228">
        <f>SUM(D130:D142)</f>
        <v>164908211.88000003</v>
      </c>
      <c r="E143" s="228">
        <f>SUM(E130:E142)</f>
        <v>162809946.21000001</v>
      </c>
      <c r="F143" s="176">
        <f>(+D143-E143)/E143</f>
        <v>1.2887822389509139E-2</v>
      </c>
      <c r="G143" s="245">
        <f>D143/C143</f>
        <v>9.6141970220084486E-2</v>
      </c>
      <c r="H143" s="246">
        <f>1-G143</f>
        <v>0.90385802977991547</v>
      </c>
      <c r="I143" s="157"/>
    </row>
    <row r="144" spans="1:9" ht="15.75" thickTop="1" x14ac:dyDescent="0.2">
      <c r="A144" s="171"/>
      <c r="B144" s="172"/>
      <c r="C144" s="227"/>
      <c r="D144" s="227"/>
      <c r="E144" s="227"/>
      <c r="F144" s="173"/>
      <c r="G144" s="243"/>
      <c r="H144" s="244"/>
      <c r="I144" s="157"/>
    </row>
    <row r="145" spans="1:9" ht="15.75" x14ac:dyDescent="0.25">
      <c r="A145" s="164" t="s">
        <v>58</v>
      </c>
      <c r="B145" s="165">
        <f>DATE(18,7,1)</f>
        <v>6757</v>
      </c>
      <c r="C145" s="226">
        <v>178050719.09</v>
      </c>
      <c r="D145" s="226">
        <v>16699225.800000001</v>
      </c>
      <c r="E145" s="226">
        <v>17449857.02</v>
      </c>
      <c r="F145" s="166">
        <f t="shared" ref="F145:F156" si="27">(+D145-E145)/E145</f>
        <v>-4.30164682231877E-2</v>
      </c>
      <c r="G145" s="241">
        <f t="shared" ref="G145:G156" si="28">D145/C145</f>
        <v>9.3789151121366585E-2</v>
      </c>
      <c r="H145" s="242">
        <f t="shared" ref="H145:H156" si="29">1-G145</f>
        <v>0.90621084887863346</v>
      </c>
      <c r="I145" s="157"/>
    </row>
    <row r="146" spans="1:9" ht="15.75" x14ac:dyDescent="0.25">
      <c r="A146" s="164"/>
      <c r="B146" s="165">
        <f>DATE(18,8,1)</f>
        <v>6788</v>
      </c>
      <c r="C146" s="226">
        <v>177417877.38</v>
      </c>
      <c r="D146" s="226">
        <v>16622760.619999999</v>
      </c>
      <c r="E146" s="226">
        <v>16610228.17</v>
      </c>
      <c r="F146" s="166">
        <f t="shared" si="27"/>
        <v>7.5450197744028071E-4</v>
      </c>
      <c r="G146" s="241">
        <f t="shared" si="28"/>
        <v>9.3692703720024625E-2</v>
      </c>
      <c r="H146" s="242">
        <f t="shared" si="29"/>
        <v>0.90630729627997542</v>
      </c>
      <c r="I146" s="157"/>
    </row>
    <row r="147" spans="1:9" ht="15.75" x14ac:dyDescent="0.25">
      <c r="A147" s="164"/>
      <c r="B147" s="165">
        <f>DATE(18,9,1)</f>
        <v>6819</v>
      </c>
      <c r="C147" s="226">
        <v>176309993.38</v>
      </c>
      <c r="D147" s="226">
        <v>16260476.050000001</v>
      </c>
      <c r="E147" s="226">
        <v>16301470.130000001</v>
      </c>
      <c r="F147" s="166">
        <f t="shared" si="27"/>
        <v>-2.514747422967555E-3</v>
      </c>
      <c r="G147" s="241">
        <f t="shared" si="28"/>
        <v>9.2226627307244471E-2</v>
      </c>
      <c r="H147" s="242">
        <f t="shared" si="29"/>
        <v>0.90777337269275549</v>
      </c>
      <c r="I147" s="157"/>
    </row>
    <row r="148" spans="1:9" ht="15.75" x14ac:dyDescent="0.25">
      <c r="A148" s="164"/>
      <c r="B148" s="165">
        <f>DATE(18,10,1)</f>
        <v>6849</v>
      </c>
      <c r="C148" s="226">
        <v>165733376.61000001</v>
      </c>
      <c r="D148" s="226">
        <v>15649969.25</v>
      </c>
      <c r="E148" s="226">
        <v>15646297.039999999</v>
      </c>
      <c r="F148" s="166">
        <f t="shared" si="27"/>
        <v>2.3470153932351104E-4</v>
      </c>
      <c r="G148" s="241">
        <f t="shared" si="28"/>
        <v>9.4428591090780403E-2</v>
      </c>
      <c r="H148" s="242">
        <f t="shared" si="29"/>
        <v>0.90557140890921961</v>
      </c>
      <c r="I148" s="157"/>
    </row>
    <row r="149" spans="1:9" ht="15.75" x14ac:dyDescent="0.25">
      <c r="A149" s="164"/>
      <c r="B149" s="165">
        <f>DATE(18,11,1)</f>
        <v>6880</v>
      </c>
      <c r="C149" s="226">
        <v>164845336.97999999</v>
      </c>
      <c r="D149" s="226">
        <v>15252914.51</v>
      </c>
      <c r="E149" s="226">
        <v>15321390.57</v>
      </c>
      <c r="F149" s="166">
        <f t="shared" si="27"/>
        <v>-4.4693110385215194E-3</v>
      </c>
      <c r="G149" s="241">
        <f t="shared" si="28"/>
        <v>9.252863799144391E-2</v>
      </c>
      <c r="H149" s="242">
        <f t="shared" si="29"/>
        <v>0.90747136200855605</v>
      </c>
      <c r="I149" s="157"/>
    </row>
    <row r="150" spans="1:9" ht="15.75" x14ac:dyDescent="0.25">
      <c r="A150" s="164"/>
      <c r="B150" s="165">
        <f>DATE(18,12,1)</f>
        <v>6910</v>
      </c>
      <c r="C150" s="226">
        <v>182628317.28</v>
      </c>
      <c r="D150" s="226">
        <v>17347128.27</v>
      </c>
      <c r="E150" s="226">
        <v>17108418.350000001</v>
      </c>
      <c r="F150" s="166">
        <f t="shared" si="27"/>
        <v>1.3952775476758087E-2</v>
      </c>
      <c r="G150" s="241">
        <f t="shared" si="28"/>
        <v>9.4985972210453684E-2</v>
      </c>
      <c r="H150" s="242">
        <f t="shared" si="29"/>
        <v>0.90501402778954632</v>
      </c>
      <c r="I150" s="157"/>
    </row>
    <row r="151" spans="1:9" ht="15.75" x14ac:dyDescent="0.25">
      <c r="A151" s="164"/>
      <c r="B151" s="165">
        <f>DATE(19,1,1)</f>
        <v>6941</v>
      </c>
      <c r="C151" s="226">
        <v>146589870.56999999</v>
      </c>
      <c r="D151" s="226">
        <v>13808864.720000001</v>
      </c>
      <c r="E151" s="226">
        <v>14386363.66</v>
      </c>
      <c r="F151" s="166">
        <f t="shared" si="27"/>
        <v>-4.0142106347949742E-2</v>
      </c>
      <c r="G151" s="241">
        <f t="shared" si="28"/>
        <v>9.420067475539487E-2</v>
      </c>
      <c r="H151" s="242">
        <f t="shared" si="29"/>
        <v>0.90579932524460516</v>
      </c>
      <c r="I151" s="157"/>
    </row>
    <row r="152" spans="1:9" ht="15.75" x14ac:dyDescent="0.25">
      <c r="A152" s="164"/>
      <c r="B152" s="165">
        <f>DATE(19,2,1)</f>
        <v>6972</v>
      </c>
      <c r="C152" s="226">
        <v>157370469.43000001</v>
      </c>
      <c r="D152" s="226">
        <v>14872520.16</v>
      </c>
      <c r="E152" s="226">
        <v>15815880.539999999</v>
      </c>
      <c r="F152" s="166">
        <f t="shared" si="27"/>
        <v>-5.9646402716190407E-2</v>
      </c>
      <c r="G152" s="241">
        <f t="shared" si="28"/>
        <v>9.4506423052995017E-2</v>
      </c>
      <c r="H152" s="242">
        <f t="shared" si="29"/>
        <v>0.90549357694700494</v>
      </c>
      <c r="I152" s="157"/>
    </row>
    <row r="153" spans="1:9" ht="15.75" x14ac:dyDescent="0.25">
      <c r="A153" s="164"/>
      <c r="B153" s="165">
        <f>DATE(19,3,1)</f>
        <v>7000</v>
      </c>
      <c r="C153" s="226">
        <v>192721538.63999999</v>
      </c>
      <c r="D153" s="226">
        <v>18016167.010000002</v>
      </c>
      <c r="E153" s="226">
        <v>19279509.879999999</v>
      </c>
      <c r="F153" s="166">
        <f t="shared" si="27"/>
        <v>-6.5527748260372137E-2</v>
      </c>
      <c r="G153" s="241">
        <f t="shared" si="28"/>
        <v>9.3482893179126406E-2</v>
      </c>
      <c r="H153" s="242">
        <f t="shared" si="29"/>
        <v>0.90651710682087361</v>
      </c>
      <c r="I153" s="157"/>
    </row>
    <row r="154" spans="1:9" ht="15.75" x14ac:dyDescent="0.25">
      <c r="A154" s="164"/>
      <c r="B154" s="165">
        <f>DATE(19,4,1)</f>
        <v>7031</v>
      </c>
      <c r="C154" s="226">
        <v>162139808.25</v>
      </c>
      <c r="D154" s="226">
        <v>15376348.85</v>
      </c>
      <c r="E154" s="226">
        <v>16670834.66</v>
      </c>
      <c r="F154" s="166">
        <f t="shared" si="27"/>
        <v>-7.7649729986584884E-2</v>
      </c>
      <c r="G154" s="241">
        <f t="shared" si="28"/>
        <v>9.4833890677183522E-2</v>
      </c>
      <c r="H154" s="242">
        <f t="shared" si="29"/>
        <v>0.90516610932281649</v>
      </c>
      <c r="I154" s="157"/>
    </row>
    <row r="155" spans="1:9" ht="15.75" x14ac:dyDescent="0.25">
      <c r="A155" s="164"/>
      <c r="B155" s="165">
        <f>DATE(19,5,1)</f>
        <v>7061</v>
      </c>
      <c r="C155" s="226">
        <v>168924738.88999999</v>
      </c>
      <c r="D155" s="226">
        <v>15682535.5</v>
      </c>
      <c r="E155" s="226">
        <v>15937528.720000001</v>
      </c>
      <c r="F155" s="166">
        <f t="shared" si="27"/>
        <v>-1.599954575642645E-2</v>
      </c>
      <c r="G155" s="241">
        <f t="shared" si="28"/>
        <v>9.2837411518582352E-2</v>
      </c>
      <c r="H155" s="242">
        <f t="shared" si="29"/>
        <v>0.90716258848141762</v>
      </c>
      <c r="I155" s="157"/>
    </row>
    <row r="156" spans="1:9" ht="15.75" x14ac:dyDescent="0.25">
      <c r="A156" s="164"/>
      <c r="B156" s="165">
        <f>DATE(19,6,1)</f>
        <v>7092</v>
      </c>
      <c r="C156" s="226">
        <v>158285770.71000001</v>
      </c>
      <c r="D156" s="226">
        <v>14443332.6</v>
      </c>
      <c r="E156" s="226">
        <v>16555234.83</v>
      </c>
      <c r="F156" s="166">
        <f t="shared" si="27"/>
        <v>-0.12756703554412827</v>
      </c>
      <c r="G156" s="241">
        <f t="shared" si="28"/>
        <v>9.1248458627794488E-2</v>
      </c>
      <c r="H156" s="242">
        <f t="shared" si="29"/>
        <v>0.90875154137220548</v>
      </c>
      <c r="I156" s="157"/>
    </row>
    <row r="157" spans="1:9" ht="15.75" thickBot="1" x14ac:dyDescent="0.25">
      <c r="A157" s="167"/>
      <c r="B157" s="168"/>
      <c r="C157" s="226"/>
      <c r="D157" s="226"/>
      <c r="E157" s="226"/>
      <c r="F157" s="166"/>
      <c r="G157" s="241"/>
      <c r="H157" s="242"/>
      <c r="I157" s="157"/>
    </row>
    <row r="158" spans="1:9" ht="17.25" thickTop="1" thickBot="1" x14ac:dyDescent="0.3">
      <c r="A158" s="174" t="s">
        <v>14</v>
      </c>
      <c r="B158" s="175"/>
      <c r="C158" s="228">
        <f>SUM(C145:C157)</f>
        <v>2031017817.21</v>
      </c>
      <c r="D158" s="228">
        <f>SUM(D145:D157)</f>
        <v>190032243.33999997</v>
      </c>
      <c r="E158" s="228">
        <f>SUM(E145:E157)</f>
        <v>197083013.56999999</v>
      </c>
      <c r="F158" s="176">
        <f>(+D158-E158)/E158</f>
        <v>-3.5775636379214007E-2</v>
      </c>
      <c r="G158" s="249">
        <f>D158/C158</f>
        <v>9.3565030168492769E-2</v>
      </c>
      <c r="H158" s="270">
        <f>1-G158</f>
        <v>0.90643496983150729</v>
      </c>
      <c r="I158" s="157"/>
    </row>
    <row r="159" spans="1:9" ht="15.75" thickTop="1" x14ac:dyDescent="0.2">
      <c r="A159" s="167"/>
      <c r="B159" s="168"/>
      <c r="C159" s="226"/>
      <c r="D159" s="226"/>
      <c r="E159" s="226"/>
      <c r="F159" s="166"/>
      <c r="G159" s="241"/>
      <c r="H159" s="242"/>
      <c r="I159" s="157"/>
    </row>
    <row r="160" spans="1:9" ht="15.75" x14ac:dyDescent="0.25">
      <c r="A160" s="164" t="s">
        <v>59</v>
      </c>
      <c r="B160" s="165">
        <f>DATE(18,7,1)</f>
        <v>6757</v>
      </c>
      <c r="C160" s="226">
        <v>24024603.440000001</v>
      </c>
      <c r="D160" s="226">
        <v>2665233.29</v>
      </c>
      <c r="E160" s="226">
        <v>2744349.13</v>
      </c>
      <c r="F160" s="166">
        <f t="shared" ref="F160:F171" si="30">(+D160-E160)/E160</f>
        <v>-2.8828635225431342E-2</v>
      </c>
      <c r="G160" s="241">
        <f t="shared" ref="G160:G171" si="31">D160/C160</f>
        <v>0.11093766008068602</v>
      </c>
      <c r="H160" s="242">
        <f t="shared" ref="H160:H171" si="32">1-G160</f>
        <v>0.88906233991931394</v>
      </c>
      <c r="I160" s="157"/>
    </row>
    <row r="161" spans="1:9" ht="15.75" x14ac:dyDescent="0.25">
      <c r="A161" s="164"/>
      <c r="B161" s="165">
        <f>DATE(18,8,1)</f>
        <v>6788</v>
      </c>
      <c r="C161" s="226">
        <v>22943875.77</v>
      </c>
      <c r="D161" s="226">
        <v>2551392.61</v>
      </c>
      <c r="E161" s="226">
        <v>2540959.2599999998</v>
      </c>
      <c r="F161" s="166">
        <f t="shared" si="30"/>
        <v>4.1060674069997071E-3</v>
      </c>
      <c r="G161" s="241">
        <f t="shared" si="31"/>
        <v>0.11120146550549423</v>
      </c>
      <c r="H161" s="242">
        <f t="shared" si="32"/>
        <v>0.88879853449450574</v>
      </c>
      <c r="I161" s="157"/>
    </row>
    <row r="162" spans="1:9" ht="15.75" x14ac:dyDescent="0.25">
      <c r="A162" s="164"/>
      <c r="B162" s="165">
        <f>DATE(18,9,1)</f>
        <v>6819</v>
      </c>
      <c r="C162" s="226">
        <v>21572518.82</v>
      </c>
      <c r="D162" s="226">
        <v>2483855.77</v>
      </c>
      <c r="E162" s="226">
        <v>2634253.17</v>
      </c>
      <c r="F162" s="166">
        <f t="shared" si="30"/>
        <v>-5.7092993837034998E-2</v>
      </c>
      <c r="G162" s="241">
        <f t="shared" si="31"/>
        <v>0.11513981240323239</v>
      </c>
      <c r="H162" s="242">
        <f t="shared" si="32"/>
        <v>0.88486018759676766</v>
      </c>
      <c r="I162" s="157"/>
    </row>
    <row r="163" spans="1:9" ht="15.75" x14ac:dyDescent="0.25">
      <c r="A163" s="164"/>
      <c r="B163" s="165">
        <f>DATE(18,10,1)</f>
        <v>6849</v>
      </c>
      <c r="C163" s="226">
        <v>20179012.579999998</v>
      </c>
      <c r="D163" s="226">
        <v>2351894.38</v>
      </c>
      <c r="E163" s="226">
        <v>2351008.96</v>
      </c>
      <c r="F163" s="166">
        <f t="shared" si="30"/>
        <v>3.7661277139493569E-4</v>
      </c>
      <c r="G163" s="241">
        <f t="shared" si="31"/>
        <v>0.11655150967748691</v>
      </c>
      <c r="H163" s="242">
        <f t="shared" si="32"/>
        <v>0.88344849032251305</v>
      </c>
      <c r="I163" s="157"/>
    </row>
    <row r="164" spans="1:9" ht="15.75" x14ac:dyDescent="0.25">
      <c r="A164" s="164"/>
      <c r="B164" s="165">
        <f>DATE(18,11,1)</f>
        <v>6880</v>
      </c>
      <c r="C164" s="226">
        <v>19644269.84</v>
      </c>
      <c r="D164" s="226">
        <v>2270138.19</v>
      </c>
      <c r="E164" s="226">
        <v>2370134.9900000002</v>
      </c>
      <c r="F164" s="166">
        <f t="shared" si="30"/>
        <v>-4.2190339546862798E-2</v>
      </c>
      <c r="G164" s="241">
        <f t="shared" si="31"/>
        <v>0.11556236034680736</v>
      </c>
      <c r="H164" s="242">
        <f t="shared" si="32"/>
        <v>0.88443763965319266</v>
      </c>
      <c r="I164" s="157"/>
    </row>
    <row r="165" spans="1:9" ht="15.75" x14ac:dyDescent="0.25">
      <c r="A165" s="164"/>
      <c r="B165" s="165">
        <f>DATE(18,12,1)</f>
        <v>6910</v>
      </c>
      <c r="C165" s="226">
        <v>22250868.329999998</v>
      </c>
      <c r="D165" s="226">
        <v>2456280.23</v>
      </c>
      <c r="E165" s="226">
        <v>2474390.4300000002</v>
      </c>
      <c r="F165" s="166">
        <f t="shared" si="30"/>
        <v>-7.3190551419972088E-3</v>
      </c>
      <c r="G165" s="241">
        <f t="shared" si="31"/>
        <v>0.11039030897901143</v>
      </c>
      <c r="H165" s="242">
        <f t="shared" si="32"/>
        <v>0.88960969102098852</v>
      </c>
      <c r="I165" s="157"/>
    </row>
    <row r="166" spans="1:9" ht="15.75" x14ac:dyDescent="0.25">
      <c r="A166" s="164"/>
      <c r="B166" s="165">
        <f>DATE(19,1,1)</f>
        <v>6941</v>
      </c>
      <c r="C166" s="226">
        <v>16631867.08</v>
      </c>
      <c r="D166" s="226">
        <v>1907536.47</v>
      </c>
      <c r="E166" s="226">
        <v>2393011.98</v>
      </c>
      <c r="F166" s="166">
        <f t="shared" si="30"/>
        <v>-0.20287216029733374</v>
      </c>
      <c r="G166" s="241">
        <f t="shared" si="31"/>
        <v>0.11469166154495265</v>
      </c>
      <c r="H166" s="242">
        <f t="shared" si="32"/>
        <v>0.88530833845504731</v>
      </c>
      <c r="I166" s="157"/>
    </row>
    <row r="167" spans="1:9" ht="15.75" x14ac:dyDescent="0.25">
      <c r="A167" s="164"/>
      <c r="B167" s="165">
        <f>DATE(19,2,1)</f>
        <v>6972</v>
      </c>
      <c r="C167" s="226">
        <v>19618686.469999999</v>
      </c>
      <c r="D167" s="226">
        <v>2252695.42</v>
      </c>
      <c r="E167" s="226">
        <v>2447889.15</v>
      </c>
      <c r="F167" s="166">
        <f t="shared" si="30"/>
        <v>-7.9739611575140146E-2</v>
      </c>
      <c r="G167" s="241">
        <f t="shared" si="31"/>
        <v>0.11482396762111058</v>
      </c>
      <c r="H167" s="242">
        <f t="shared" si="32"/>
        <v>0.88517603237888942</v>
      </c>
      <c r="I167" s="157"/>
    </row>
    <row r="168" spans="1:9" ht="15.75" x14ac:dyDescent="0.25">
      <c r="A168" s="164"/>
      <c r="B168" s="165">
        <f>DATE(19,3,1)</f>
        <v>7000</v>
      </c>
      <c r="C168" s="226">
        <v>25238075.460000001</v>
      </c>
      <c r="D168" s="226">
        <v>2891984.6</v>
      </c>
      <c r="E168" s="226">
        <v>3412980.94</v>
      </c>
      <c r="F168" s="166">
        <f t="shared" si="30"/>
        <v>-0.15265140625133403</v>
      </c>
      <c r="G168" s="241">
        <f t="shared" si="31"/>
        <v>0.11458815885480358</v>
      </c>
      <c r="H168" s="242">
        <f t="shared" si="32"/>
        <v>0.88541184114519644</v>
      </c>
      <c r="I168" s="157"/>
    </row>
    <row r="169" spans="1:9" ht="15.75" x14ac:dyDescent="0.25">
      <c r="A169" s="164"/>
      <c r="B169" s="165">
        <f>DATE(19,4,1)</f>
        <v>7031</v>
      </c>
      <c r="C169" s="226">
        <v>22061858.780000001</v>
      </c>
      <c r="D169" s="226">
        <v>2403144.29</v>
      </c>
      <c r="E169" s="226">
        <v>2736386.51</v>
      </c>
      <c r="F169" s="166">
        <f t="shared" si="30"/>
        <v>-0.1217818531052471</v>
      </c>
      <c r="G169" s="241">
        <f t="shared" si="31"/>
        <v>0.10892755293033382</v>
      </c>
      <c r="H169" s="242">
        <f t="shared" si="32"/>
        <v>0.89107244706966615</v>
      </c>
      <c r="I169" s="157"/>
    </row>
    <row r="170" spans="1:9" ht="15.75" x14ac:dyDescent="0.25">
      <c r="A170" s="164"/>
      <c r="B170" s="165">
        <f>DATE(19,5,1)</f>
        <v>7061</v>
      </c>
      <c r="C170" s="226">
        <v>20919578.09</v>
      </c>
      <c r="D170" s="226">
        <v>2355264.66</v>
      </c>
      <c r="E170" s="226">
        <v>2770489.93</v>
      </c>
      <c r="F170" s="166">
        <f t="shared" si="30"/>
        <v>-0.14987431121974878</v>
      </c>
      <c r="G170" s="241">
        <f t="shared" si="31"/>
        <v>0.11258662339494631</v>
      </c>
      <c r="H170" s="242">
        <f t="shared" si="32"/>
        <v>0.88741337660505371</v>
      </c>
      <c r="I170" s="157"/>
    </row>
    <row r="171" spans="1:9" ht="15.75" x14ac:dyDescent="0.25">
      <c r="A171" s="164"/>
      <c r="B171" s="165">
        <f>DATE(19,6,1)</f>
        <v>7092</v>
      </c>
      <c r="C171" s="226">
        <v>21842118.120000001</v>
      </c>
      <c r="D171" s="226">
        <v>2467327.59</v>
      </c>
      <c r="E171" s="226">
        <v>2731082.79</v>
      </c>
      <c r="F171" s="166">
        <f t="shared" si="30"/>
        <v>-9.6575322053858423E-2</v>
      </c>
      <c r="G171" s="241">
        <f t="shared" si="31"/>
        <v>0.11296191955581274</v>
      </c>
      <c r="H171" s="242">
        <f t="shared" si="32"/>
        <v>0.8870380804441873</v>
      </c>
      <c r="I171" s="157"/>
    </row>
    <row r="172" spans="1:9" ht="15.75" thickBot="1" x14ac:dyDescent="0.25">
      <c r="A172" s="167"/>
      <c r="B172" s="168"/>
      <c r="C172" s="226"/>
      <c r="D172" s="226"/>
      <c r="E172" s="226"/>
      <c r="F172" s="166"/>
      <c r="G172" s="241"/>
      <c r="H172" s="242"/>
      <c r="I172" s="157"/>
    </row>
    <row r="173" spans="1:9" ht="17.25" thickTop="1" thickBot="1" x14ac:dyDescent="0.3">
      <c r="A173" s="182" t="s">
        <v>14</v>
      </c>
      <c r="B173" s="183"/>
      <c r="C173" s="230">
        <f>SUM(C160:C172)</f>
        <v>256927332.78000003</v>
      </c>
      <c r="D173" s="230">
        <f>SUM(D160:D172)</f>
        <v>29056747.5</v>
      </c>
      <c r="E173" s="230">
        <f>SUM(E160:E172)</f>
        <v>31606937.239999995</v>
      </c>
      <c r="F173" s="176">
        <f>(+D173-E173)/E173</f>
        <v>-8.0684494060139916E-2</v>
      </c>
      <c r="G173" s="249">
        <f>D173/C173</f>
        <v>0.11309325164279237</v>
      </c>
      <c r="H173" s="246">
        <f>1-G173</f>
        <v>0.88690674835720762</v>
      </c>
      <c r="I173" s="157"/>
    </row>
    <row r="174" spans="1:9" ht="15.75" thickTop="1" x14ac:dyDescent="0.2">
      <c r="A174" s="167"/>
      <c r="B174" s="168"/>
      <c r="C174" s="226"/>
      <c r="D174" s="226"/>
      <c r="E174" s="226"/>
      <c r="F174" s="166"/>
      <c r="G174" s="241"/>
      <c r="H174" s="242"/>
      <c r="I174" s="157"/>
    </row>
    <row r="175" spans="1:9" ht="15.75" x14ac:dyDescent="0.25">
      <c r="A175" s="164" t="s">
        <v>40</v>
      </c>
      <c r="B175" s="165">
        <f>DATE(18,7,1)</f>
        <v>6757</v>
      </c>
      <c r="C175" s="226">
        <v>216736742.84</v>
      </c>
      <c r="D175" s="226">
        <v>19406302.420000002</v>
      </c>
      <c r="E175" s="226">
        <v>20250233.59</v>
      </c>
      <c r="F175" s="166">
        <f t="shared" ref="F175:F186" si="33">(+D175-E175)/E175</f>
        <v>-4.1675132597816029E-2</v>
      </c>
      <c r="G175" s="241">
        <f t="shared" ref="G175:G186" si="34">D175/C175</f>
        <v>8.9538590299505311E-2</v>
      </c>
      <c r="H175" s="242">
        <f t="shared" ref="H175:H186" si="35">1-G175</f>
        <v>0.91046140970049472</v>
      </c>
      <c r="I175" s="157"/>
    </row>
    <row r="176" spans="1:9" ht="15.75" x14ac:dyDescent="0.25">
      <c r="A176" s="164"/>
      <c r="B176" s="165">
        <f>DATE(18,8,1)</f>
        <v>6788</v>
      </c>
      <c r="C176" s="226">
        <v>217223700.97999999</v>
      </c>
      <c r="D176" s="226">
        <v>19632454.710000001</v>
      </c>
      <c r="E176" s="226">
        <v>18649872.98</v>
      </c>
      <c r="F176" s="166">
        <f t="shared" si="33"/>
        <v>5.2685706280880013E-2</v>
      </c>
      <c r="G176" s="241">
        <f t="shared" si="34"/>
        <v>9.0378971638125166E-2</v>
      </c>
      <c r="H176" s="242">
        <f t="shared" si="35"/>
        <v>0.90962102836187486</v>
      </c>
      <c r="I176" s="157"/>
    </row>
    <row r="177" spans="1:9" ht="15.75" x14ac:dyDescent="0.25">
      <c r="A177" s="164"/>
      <c r="B177" s="165">
        <f>DATE(18,9,1)</f>
        <v>6819</v>
      </c>
      <c r="C177" s="226">
        <v>205256989.50999999</v>
      </c>
      <c r="D177" s="226">
        <v>18357005.34</v>
      </c>
      <c r="E177" s="226">
        <v>18449653.52</v>
      </c>
      <c r="F177" s="166">
        <f t="shared" si="33"/>
        <v>-5.0216758758946985E-3</v>
      </c>
      <c r="G177" s="241">
        <f t="shared" si="34"/>
        <v>8.9434252075034248E-2</v>
      </c>
      <c r="H177" s="242">
        <f t="shared" si="35"/>
        <v>0.91056574792496581</v>
      </c>
      <c r="I177" s="157"/>
    </row>
    <row r="178" spans="1:9" ht="15.75" x14ac:dyDescent="0.25">
      <c r="A178" s="164"/>
      <c r="B178" s="165">
        <f>DATE(18,10,1)</f>
        <v>6849</v>
      </c>
      <c r="C178" s="226">
        <v>197988846.69999999</v>
      </c>
      <c r="D178" s="226">
        <v>17743741.07</v>
      </c>
      <c r="E178" s="226">
        <v>17943427.350000001</v>
      </c>
      <c r="F178" s="166">
        <f t="shared" si="33"/>
        <v>-1.1128658762062042E-2</v>
      </c>
      <c r="G178" s="241">
        <f t="shared" si="34"/>
        <v>8.9619902159872533E-2</v>
      </c>
      <c r="H178" s="242">
        <f t="shared" si="35"/>
        <v>0.91038009784012752</v>
      </c>
      <c r="I178" s="157"/>
    </row>
    <row r="179" spans="1:9" ht="15.75" x14ac:dyDescent="0.25">
      <c r="A179" s="164"/>
      <c r="B179" s="165">
        <f>DATE(18,11,1)</f>
        <v>6880</v>
      </c>
      <c r="C179" s="226">
        <v>200122811.33000001</v>
      </c>
      <c r="D179" s="226">
        <v>17751037.91</v>
      </c>
      <c r="E179" s="226">
        <v>17723437.109999999</v>
      </c>
      <c r="F179" s="166">
        <f t="shared" si="33"/>
        <v>1.5573051563699061E-3</v>
      </c>
      <c r="G179" s="241">
        <f t="shared" si="34"/>
        <v>8.8700722281623165E-2</v>
      </c>
      <c r="H179" s="242">
        <f t="shared" si="35"/>
        <v>0.91129927771837682</v>
      </c>
      <c r="I179" s="157"/>
    </row>
    <row r="180" spans="1:9" ht="15.75" x14ac:dyDescent="0.25">
      <c r="A180" s="164"/>
      <c r="B180" s="165">
        <f>DATE(18,12,1)</f>
        <v>6910</v>
      </c>
      <c r="C180" s="226">
        <v>215473575.27000001</v>
      </c>
      <c r="D180" s="226">
        <v>19880708.100000001</v>
      </c>
      <c r="E180" s="226">
        <v>18728361.25</v>
      </c>
      <c r="F180" s="166">
        <f t="shared" si="33"/>
        <v>6.1529507820658975E-2</v>
      </c>
      <c r="G180" s="241">
        <f t="shared" si="34"/>
        <v>9.2265179500959235E-2</v>
      </c>
      <c r="H180" s="242">
        <f t="shared" si="35"/>
        <v>0.90773482049904075</v>
      </c>
      <c r="I180" s="157"/>
    </row>
    <row r="181" spans="1:9" ht="15.75" x14ac:dyDescent="0.25">
      <c r="A181" s="164"/>
      <c r="B181" s="165">
        <f>DATE(19,1,1)</f>
        <v>6941</v>
      </c>
      <c r="C181" s="226">
        <v>178812274.34999999</v>
      </c>
      <c r="D181" s="226">
        <v>15585305.41</v>
      </c>
      <c r="E181" s="226">
        <v>16953191</v>
      </c>
      <c r="F181" s="166">
        <f t="shared" si="33"/>
        <v>-8.0686024831549408E-2</v>
      </c>
      <c r="G181" s="241">
        <f t="shared" si="34"/>
        <v>8.7160154226851042E-2</v>
      </c>
      <c r="H181" s="242">
        <f t="shared" si="35"/>
        <v>0.91283984577314892</v>
      </c>
      <c r="I181" s="157"/>
    </row>
    <row r="182" spans="1:9" ht="15.75" x14ac:dyDescent="0.25">
      <c r="A182" s="164"/>
      <c r="B182" s="165">
        <f>DATE(19,2,1)</f>
        <v>6972</v>
      </c>
      <c r="C182" s="226">
        <v>189779653.38</v>
      </c>
      <c r="D182" s="226">
        <v>17148799.079999998</v>
      </c>
      <c r="E182" s="226">
        <v>18138655.68</v>
      </c>
      <c r="F182" s="166">
        <f t="shared" si="33"/>
        <v>-5.4571662722030428E-2</v>
      </c>
      <c r="G182" s="241">
        <f t="shared" si="34"/>
        <v>9.0361631368683026E-2</v>
      </c>
      <c r="H182" s="242">
        <f t="shared" si="35"/>
        <v>0.90963836863131697</v>
      </c>
      <c r="I182" s="157"/>
    </row>
    <row r="183" spans="1:9" ht="15.75" x14ac:dyDescent="0.25">
      <c r="A183" s="164"/>
      <c r="B183" s="165">
        <f>DATE(19,3,1)</f>
        <v>7000</v>
      </c>
      <c r="C183" s="226">
        <v>233670448.15000001</v>
      </c>
      <c r="D183" s="226">
        <v>20916752.149999999</v>
      </c>
      <c r="E183" s="226">
        <v>21744558.07</v>
      </c>
      <c r="F183" s="166">
        <f t="shared" si="33"/>
        <v>-3.80695674446513E-2</v>
      </c>
      <c r="G183" s="241">
        <f t="shared" si="34"/>
        <v>8.9513895811818331E-2</v>
      </c>
      <c r="H183" s="242">
        <f t="shared" si="35"/>
        <v>0.91048610418818166</v>
      </c>
      <c r="I183" s="157"/>
    </row>
    <row r="184" spans="1:9" ht="15.75" x14ac:dyDescent="0.25">
      <c r="A184" s="164"/>
      <c r="B184" s="165">
        <f>DATE(19,4,1)</f>
        <v>7031</v>
      </c>
      <c r="C184" s="226">
        <v>210046620.22999999</v>
      </c>
      <c r="D184" s="226">
        <v>18972432.550000001</v>
      </c>
      <c r="E184" s="226">
        <v>19265202.350000001</v>
      </c>
      <c r="F184" s="166">
        <f t="shared" si="33"/>
        <v>-1.5196819357570918E-2</v>
      </c>
      <c r="G184" s="241">
        <f t="shared" si="34"/>
        <v>9.0324864685874418E-2</v>
      </c>
      <c r="H184" s="242">
        <f t="shared" si="35"/>
        <v>0.90967513531412558</v>
      </c>
      <c r="I184" s="157"/>
    </row>
    <row r="185" spans="1:9" ht="15.75" x14ac:dyDescent="0.25">
      <c r="A185" s="164"/>
      <c r="B185" s="165">
        <f>DATE(19,5,1)</f>
        <v>7061</v>
      </c>
      <c r="C185" s="226">
        <v>217520826.25</v>
      </c>
      <c r="D185" s="226">
        <v>19794771.41</v>
      </c>
      <c r="E185" s="226">
        <v>19274378.739999998</v>
      </c>
      <c r="F185" s="166">
        <f t="shared" si="33"/>
        <v>2.6999192919252651E-2</v>
      </c>
      <c r="G185" s="241">
        <f t="shared" si="34"/>
        <v>9.1001729587260619E-2</v>
      </c>
      <c r="H185" s="242">
        <f t="shared" si="35"/>
        <v>0.9089982704127394</v>
      </c>
      <c r="I185" s="157"/>
    </row>
    <row r="186" spans="1:9" ht="15.75" x14ac:dyDescent="0.25">
      <c r="A186" s="164"/>
      <c r="B186" s="165">
        <f>DATE(19,6,1)</f>
        <v>7092</v>
      </c>
      <c r="C186" s="226">
        <v>208846601.06</v>
      </c>
      <c r="D186" s="226">
        <v>19315093.579999998</v>
      </c>
      <c r="E186" s="226">
        <v>19439911.359999999</v>
      </c>
      <c r="F186" s="166">
        <f t="shared" si="33"/>
        <v>-6.4206969717376938E-3</v>
      </c>
      <c r="G186" s="241">
        <f t="shared" si="34"/>
        <v>9.2484596263316357E-2</v>
      </c>
      <c r="H186" s="242">
        <f t="shared" si="35"/>
        <v>0.9075154037366836</v>
      </c>
      <c r="I186" s="157"/>
    </row>
    <row r="187" spans="1:9" ht="15.75" thickBot="1" x14ac:dyDescent="0.25">
      <c r="A187" s="167"/>
      <c r="B187" s="168"/>
      <c r="C187" s="226"/>
      <c r="D187" s="226"/>
      <c r="E187" s="226"/>
      <c r="F187" s="166"/>
      <c r="G187" s="241"/>
      <c r="H187" s="242"/>
      <c r="I187" s="157"/>
    </row>
    <row r="188" spans="1:9" ht="17.25" thickTop="1" thickBot="1" x14ac:dyDescent="0.3">
      <c r="A188" s="174" t="s">
        <v>14</v>
      </c>
      <c r="B188" s="175"/>
      <c r="C188" s="228">
        <f>SUM(C175:C187)</f>
        <v>2491479090.0500002</v>
      </c>
      <c r="D188" s="228">
        <f>SUM(D175:D187)</f>
        <v>224504403.72999996</v>
      </c>
      <c r="E188" s="228">
        <f>SUM(E175:E187)</f>
        <v>226560883</v>
      </c>
      <c r="F188" s="176">
        <f>(+D188-E188)/E188</f>
        <v>-9.0769388023617496E-3</v>
      </c>
      <c r="G188" s="245">
        <f>D188/C188</f>
        <v>9.0108885371177047E-2</v>
      </c>
      <c r="H188" s="246">
        <f>1-G188</f>
        <v>0.90989111462882299</v>
      </c>
      <c r="I188" s="157"/>
    </row>
    <row r="189" spans="1:9" ht="15.75" thickTop="1" x14ac:dyDescent="0.2">
      <c r="A189" s="167"/>
      <c r="B189" s="168"/>
      <c r="C189" s="226"/>
      <c r="D189" s="226"/>
      <c r="E189" s="226"/>
      <c r="F189" s="166"/>
      <c r="G189" s="241"/>
      <c r="H189" s="242"/>
      <c r="I189" s="157"/>
    </row>
    <row r="190" spans="1:9" ht="15.75" x14ac:dyDescent="0.25">
      <c r="A190" s="164" t="s">
        <v>64</v>
      </c>
      <c r="B190" s="165">
        <f>DATE(18,7,1)</f>
        <v>6757</v>
      </c>
      <c r="C190" s="226">
        <v>30178966.07</v>
      </c>
      <c r="D190" s="226">
        <v>3425449</v>
      </c>
      <c r="E190" s="226">
        <v>3031134.15</v>
      </c>
      <c r="F190" s="166">
        <f t="shared" ref="F190:F201" si="36">(+D190-E190)/E190</f>
        <v>0.13008822126859682</v>
      </c>
      <c r="G190" s="241">
        <f t="shared" ref="G190:G201" si="37">D190/C190</f>
        <v>0.11350451808238506</v>
      </c>
      <c r="H190" s="242">
        <f t="shared" ref="H190:H201" si="38">1-G190</f>
        <v>0.88649548191761496</v>
      </c>
      <c r="I190" s="157"/>
    </row>
    <row r="191" spans="1:9" ht="15.75" x14ac:dyDescent="0.25">
      <c r="A191" s="164"/>
      <c r="B191" s="165">
        <f>DATE(18,8,1)</f>
        <v>6788</v>
      </c>
      <c r="C191" s="226">
        <v>31687944.140000001</v>
      </c>
      <c r="D191" s="226">
        <v>3421840.59</v>
      </c>
      <c r="E191" s="226">
        <v>3021204.93</v>
      </c>
      <c r="F191" s="166">
        <f t="shared" si="36"/>
        <v>0.13260790621045349</v>
      </c>
      <c r="G191" s="241">
        <f t="shared" si="37"/>
        <v>0.10798556621035497</v>
      </c>
      <c r="H191" s="242">
        <f t="shared" si="38"/>
        <v>0.89201443378964507</v>
      </c>
      <c r="I191" s="157"/>
    </row>
    <row r="192" spans="1:9" ht="15.75" x14ac:dyDescent="0.25">
      <c r="A192" s="164"/>
      <c r="B192" s="165">
        <f>DATE(18,9,1)</f>
        <v>6819</v>
      </c>
      <c r="C192" s="226">
        <v>28817033.199999999</v>
      </c>
      <c r="D192" s="226">
        <v>3252949</v>
      </c>
      <c r="E192" s="226">
        <v>3254625.5</v>
      </c>
      <c r="F192" s="166">
        <f t="shared" si="36"/>
        <v>-5.1511302913345941E-4</v>
      </c>
      <c r="G192" s="241">
        <f t="shared" si="37"/>
        <v>0.11288285568550478</v>
      </c>
      <c r="H192" s="242">
        <f t="shared" si="38"/>
        <v>0.88711714431449518</v>
      </c>
      <c r="I192" s="157"/>
    </row>
    <row r="193" spans="1:9" ht="15.75" x14ac:dyDescent="0.25">
      <c r="A193" s="164"/>
      <c r="B193" s="165">
        <f>DATE(18,10,1)</f>
        <v>6849</v>
      </c>
      <c r="C193" s="226">
        <v>29906173.859999999</v>
      </c>
      <c r="D193" s="226">
        <v>3250399.43</v>
      </c>
      <c r="E193" s="226">
        <v>3125463.3</v>
      </c>
      <c r="F193" s="166">
        <f t="shared" si="36"/>
        <v>3.9973635268729713E-2</v>
      </c>
      <c r="G193" s="241">
        <f t="shared" si="37"/>
        <v>0.10868656904143338</v>
      </c>
      <c r="H193" s="242">
        <f t="shared" si="38"/>
        <v>0.89131343095856663</v>
      </c>
      <c r="I193" s="157"/>
    </row>
    <row r="194" spans="1:9" ht="15.75" x14ac:dyDescent="0.25">
      <c r="A194" s="164"/>
      <c r="B194" s="165">
        <f>DATE(18,11,1)</f>
        <v>6880</v>
      </c>
      <c r="C194" s="226">
        <v>28831016.57</v>
      </c>
      <c r="D194" s="226">
        <v>3195617.35</v>
      </c>
      <c r="E194" s="226">
        <v>3210022.57</v>
      </c>
      <c r="F194" s="166">
        <f t="shared" si="36"/>
        <v>-4.4875759238040937E-3</v>
      </c>
      <c r="G194" s="241">
        <f t="shared" si="37"/>
        <v>0.11083956551588219</v>
      </c>
      <c r="H194" s="242">
        <f t="shared" si="38"/>
        <v>0.88916043448411786</v>
      </c>
      <c r="I194" s="157"/>
    </row>
    <row r="195" spans="1:9" ht="15.75" x14ac:dyDescent="0.25">
      <c r="A195" s="164"/>
      <c r="B195" s="165">
        <f>DATE(18,12,1)</f>
        <v>6910</v>
      </c>
      <c r="C195" s="226">
        <v>32019263.800000001</v>
      </c>
      <c r="D195" s="226">
        <v>3572083.96</v>
      </c>
      <c r="E195" s="226">
        <v>3515871.15</v>
      </c>
      <c r="F195" s="166">
        <f t="shared" si="36"/>
        <v>1.5988302074153103E-2</v>
      </c>
      <c r="G195" s="241">
        <f t="shared" si="37"/>
        <v>0.11156046504729443</v>
      </c>
      <c r="H195" s="242">
        <f t="shared" si="38"/>
        <v>0.88843953495270556</v>
      </c>
      <c r="I195" s="157"/>
    </row>
    <row r="196" spans="1:9" ht="15.75" x14ac:dyDescent="0.25">
      <c r="A196" s="164"/>
      <c r="B196" s="165">
        <f>DATE(19,1,1)</f>
        <v>6941</v>
      </c>
      <c r="C196" s="226">
        <v>26958137.510000002</v>
      </c>
      <c r="D196" s="226">
        <v>3109821.23</v>
      </c>
      <c r="E196" s="226">
        <v>3085963.24</v>
      </c>
      <c r="F196" s="166">
        <f t="shared" si="36"/>
        <v>7.7311322736299849E-3</v>
      </c>
      <c r="G196" s="241">
        <f t="shared" si="37"/>
        <v>0.11535742144079596</v>
      </c>
      <c r="H196" s="242">
        <f t="shared" si="38"/>
        <v>0.88464257855920403</v>
      </c>
      <c r="I196" s="157"/>
    </row>
    <row r="197" spans="1:9" ht="15.75" x14ac:dyDescent="0.25">
      <c r="A197" s="164"/>
      <c r="B197" s="165">
        <f>DATE(19,2,1)</f>
        <v>6972</v>
      </c>
      <c r="C197" s="226">
        <v>29682847.850000001</v>
      </c>
      <c r="D197" s="226">
        <v>3355638.84</v>
      </c>
      <c r="E197" s="226">
        <v>3332057.19</v>
      </c>
      <c r="F197" s="166">
        <f t="shared" si="36"/>
        <v>7.0772044581863579E-3</v>
      </c>
      <c r="G197" s="241">
        <f t="shared" si="37"/>
        <v>0.11304976048650937</v>
      </c>
      <c r="H197" s="242">
        <f t="shared" si="38"/>
        <v>0.88695023951349061</v>
      </c>
      <c r="I197" s="157"/>
    </row>
    <row r="198" spans="1:9" ht="15.75" x14ac:dyDescent="0.25">
      <c r="A198" s="164"/>
      <c r="B198" s="165">
        <f>DATE(19,3,1)</f>
        <v>7000</v>
      </c>
      <c r="C198" s="226">
        <v>19224046.449999999</v>
      </c>
      <c r="D198" s="226">
        <v>2155967.5699999998</v>
      </c>
      <c r="E198" s="226">
        <v>4151066.17</v>
      </c>
      <c r="F198" s="166">
        <f t="shared" si="36"/>
        <v>-0.48062317445544361</v>
      </c>
      <c r="G198" s="241">
        <f t="shared" si="37"/>
        <v>0.11214951938487434</v>
      </c>
      <c r="H198" s="242">
        <f t="shared" si="38"/>
        <v>0.88785048061512561</v>
      </c>
      <c r="I198" s="157"/>
    </row>
    <row r="199" spans="1:9" ht="15.75" x14ac:dyDescent="0.25">
      <c r="A199" s="164"/>
      <c r="B199" s="165">
        <f>DATE(19,4,1)</f>
        <v>7031</v>
      </c>
      <c r="C199" s="226">
        <v>10304580.029999999</v>
      </c>
      <c r="D199" s="226">
        <v>1189025.8600000001</v>
      </c>
      <c r="E199" s="226">
        <v>3563936.22</v>
      </c>
      <c r="F199" s="166">
        <f t="shared" si="36"/>
        <v>-0.6663728566949495</v>
      </c>
      <c r="G199" s="241">
        <f t="shared" si="37"/>
        <v>0.11538809505466087</v>
      </c>
      <c r="H199" s="242">
        <f t="shared" si="38"/>
        <v>0.88461190494533914</v>
      </c>
      <c r="I199" s="157"/>
    </row>
    <row r="200" spans="1:9" ht="15.75" x14ac:dyDescent="0.25">
      <c r="A200" s="164"/>
      <c r="B200" s="165">
        <f>DATE(19,5,1)</f>
        <v>7061</v>
      </c>
      <c r="C200" s="226">
        <v>28247930.350000001</v>
      </c>
      <c r="D200" s="226">
        <v>3072336.8</v>
      </c>
      <c r="E200" s="226">
        <v>3456038.42</v>
      </c>
      <c r="F200" s="166">
        <f t="shared" si="36"/>
        <v>-0.1110235400681686</v>
      </c>
      <c r="G200" s="241">
        <f t="shared" si="37"/>
        <v>0.10876325316343043</v>
      </c>
      <c r="H200" s="242">
        <f t="shared" si="38"/>
        <v>0.89123674683656962</v>
      </c>
      <c r="I200" s="157"/>
    </row>
    <row r="201" spans="1:9" ht="15.75" x14ac:dyDescent="0.25">
      <c r="A201" s="164"/>
      <c r="B201" s="165">
        <f>DATE(19,6,1)</f>
        <v>7092</v>
      </c>
      <c r="C201" s="226">
        <v>25537327.460000001</v>
      </c>
      <c r="D201" s="226">
        <v>2743702.51</v>
      </c>
      <c r="E201" s="226">
        <v>3461689.08</v>
      </c>
      <c r="F201" s="166">
        <f t="shared" si="36"/>
        <v>-0.20740931765021492</v>
      </c>
      <c r="G201" s="241">
        <f t="shared" si="37"/>
        <v>0.10743890543352885</v>
      </c>
      <c r="H201" s="242">
        <f t="shared" si="38"/>
        <v>0.89256109456647115</v>
      </c>
      <c r="I201" s="157"/>
    </row>
    <row r="202" spans="1:9" ht="15.75" thickBot="1" x14ac:dyDescent="0.25">
      <c r="A202" s="167"/>
      <c r="B202" s="168"/>
      <c r="C202" s="226"/>
      <c r="D202" s="226"/>
      <c r="E202" s="226"/>
      <c r="F202" s="166"/>
      <c r="G202" s="241"/>
      <c r="H202" s="242"/>
      <c r="I202" s="157"/>
    </row>
    <row r="203" spans="1:9" ht="17.25" thickTop="1" thickBot="1" x14ac:dyDescent="0.3">
      <c r="A203" s="169" t="s">
        <v>14</v>
      </c>
      <c r="B203" s="155"/>
      <c r="C203" s="223">
        <f>SUM(C190:C202)</f>
        <v>321395267.28999996</v>
      </c>
      <c r="D203" s="223">
        <f>SUM(D190:D202)</f>
        <v>35744832.140000001</v>
      </c>
      <c r="E203" s="223">
        <f>SUM(E190:E202)</f>
        <v>40209071.919999994</v>
      </c>
      <c r="F203" s="176">
        <f>(+D203-E203)/E203</f>
        <v>-0.11102568566820067</v>
      </c>
      <c r="G203" s="245">
        <f>D203/C203</f>
        <v>0.11121766801795149</v>
      </c>
      <c r="H203" s="246">
        <f>1-G203</f>
        <v>0.88878233198204848</v>
      </c>
      <c r="I203" s="157"/>
    </row>
    <row r="204" spans="1:9" ht="16.5" thickTop="1" thickBot="1" x14ac:dyDescent="0.25">
      <c r="A204" s="171"/>
      <c r="B204" s="172"/>
      <c r="C204" s="227"/>
      <c r="D204" s="227"/>
      <c r="E204" s="227"/>
      <c r="F204" s="173"/>
      <c r="G204" s="243"/>
      <c r="H204" s="244"/>
      <c r="I204" s="157"/>
    </row>
    <row r="205" spans="1:9" ht="17.25" thickTop="1" thickBot="1" x14ac:dyDescent="0.3">
      <c r="A205" s="184" t="s">
        <v>41</v>
      </c>
      <c r="B205" s="155"/>
      <c r="C205" s="223">
        <f>C203+C188+C143+C113+C83+C53+C23+C68+C173+C38+C128+C158+C98</f>
        <v>15160505905.74</v>
      </c>
      <c r="D205" s="223">
        <f>D203+D188+D143+D113+D83+D53+D23+D68+D173+D38+D128+D158+D98</f>
        <v>1474477404.3300002</v>
      </c>
      <c r="E205" s="223">
        <f>E203+E188+E143+E113+E83+E53+E23+E68+E173+E38+E128+E158+E98</f>
        <v>1497873502.3999999</v>
      </c>
      <c r="F205" s="170">
        <f>(+D205-E205)/E205</f>
        <v>-1.5619541992373052E-2</v>
      </c>
      <c r="G205" s="236">
        <f>D205/C205</f>
        <v>9.7257796903185159E-2</v>
      </c>
      <c r="H205" s="237">
        <f>1-G205</f>
        <v>0.90274220309681485</v>
      </c>
      <c r="I205" s="157"/>
    </row>
    <row r="206" spans="1:9" ht="17.25" thickTop="1" thickBot="1" x14ac:dyDescent="0.3">
      <c r="A206" s="184"/>
      <c r="B206" s="155"/>
      <c r="C206" s="223"/>
      <c r="D206" s="223"/>
      <c r="E206" s="223"/>
      <c r="F206" s="170"/>
      <c r="G206" s="236"/>
      <c r="H206" s="237"/>
      <c r="I206" s="157"/>
    </row>
    <row r="207" spans="1:9" ht="17.25" thickTop="1" thickBot="1" x14ac:dyDescent="0.3">
      <c r="A207" s="184" t="s">
        <v>42</v>
      </c>
      <c r="B207" s="155"/>
      <c r="C207" s="223">
        <f>+C21+C36+C51+C66+C81+C96+C111+C126+C141+C156+C171+C186+C201</f>
        <v>1257241447.03</v>
      </c>
      <c r="D207" s="223">
        <f>+D21+D36+D51+D66+D81+D96+D111+D126+D141+D156+D171+D186+D201</f>
        <v>122430177.33999999</v>
      </c>
      <c r="E207" s="223">
        <f>+E21+E36+E51+E66+E81+E96+E111+E126+E141+E156+E171+E186+E201</f>
        <v>127524130.02000001</v>
      </c>
      <c r="F207" s="170">
        <f>(+D207-E207)/E207</f>
        <v>-3.9945010243952431E-2</v>
      </c>
      <c r="G207" s="236">
        <f>D207/C207</f>
        <v>9.7380004158484121E-2</v>
      </c>
      <c r="H207" s="246">
        <f>1-G207</f>
        <v>0.90261999584151587</v>
      </c>
      <c r="I207" s="157"/>
    </row>
    <row r="208" spans="1:9" ht="16.5" thickTop="1" x14ac:dyDescent="0.25">
      <c r="A208" s="185"/>
      <c r="B208" s="186"/>
      <c r="C208" s="231"/>
      <c r="D208" s="231"/>
      <c r="E208" s="231"/>
      <c r="F208" s="187"/>
      <c r="G208" s="250"/>
      <c r="H208" s="250"/>
      <c r="I208" s="151"/>
    </row>
    <row r="209" spans="1:9" ht="16.5" customHeight="1" x14ac:dyDescent="0.3">
      <c r="A209" s="188" t="s">
        <v>52</v>
      </c>
      <c r="B209" s="189"/>
      <c r="C209" s="232"/>
      <c r="D209" s="232"/>
      <c r="E209" s="232"/>
      <c r="F209" s="190"/>
      <c r="G209" s="251"/>
      <c r="H209" s="251"/>
      <c r="I209" s="151"/>
    </row>
    <row r="210" spans="1:9" ht="15.75" x14ac:dyDescent="0.25">
      <c r="A210" s="191"/>
      <c r="B210" s="189"/>
      <c r="C210" s="232"/>
      <c r="D210" s="232"/>
      <c r="E210" s="232"/>
      <c r="F210" s="190"/>
      <c r="G210" s="257"/>
      <c r="H210" s="257"/>
      <c r="I210" s="151"/>
    </row>
    <row r="211" spans="1:9" ht="15.75" x14ac:dyDescent="0.25">
      <c r="A211" s="72"/>
      <c r="I211" s="151"/>
    </row>
  </sheetData>
  <phoneticPr fontId="0" type="noConversion"/>
  <printOptions horizontalCentered="1"/>
  <pageMargins left="0.75" right="0.25" top="0.31940000000000002" bottom="0.2" header="0.5" footer="0.5"/>
  <pageSetup scale="66" orientation="landscape" r:id="rId1"/>
  <headerFooter alignWithMargins="0"/>
  <rowBreaks count="4" manualBreakCount="4">
    <brk id="53" max="8" man="1"/>
    <brk id="98" max="8" man="1"/>
    <brk id="143" max="8" man="1"/>
    <brk id="18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MONTHLY STATS</vt:lpstr>
      <vt:lpstr>YTD TAXES</vt:lpstr>
      <vt:lpstr>TABLE STATS</vt:lpstr>
      <vt:lpstr>SLOT STATS</vt:lpstr>
      <vt:lpstr>'MONTHLY STATS'!Print_Area</vt:lpstr>
      <vt:lpstr>'SLOT STATS'!Print_Area</vt:lpstr>
      <vt:lpstr>'TABLE STATS'!Print_Area</vt:lpstr>
      <vt:lpstr>'MONTHLY STATS'!Print_Titles</vt:lpstr>
      <vt:lpstr>'SLOT STATS'!Print_Titles</vt:lpstr>
      <vt:lpstr>'TABLE STATS'!Print_Titles</vt:lpstr>
    </vt:vector>
  </TitlesOfParts>
  <Company>MGC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Bruns</dc:creator>
  <cp:lastModifiedBy>webteam-prod</cp:lastModifiedBy>
  <cp:lastPrinted>2019-07-09T14:28:15Z</cp:lastPrinted>
  <dcterms:created xsi:type="dcterms:W3CDTF">2003-09-09T14:41:43Z</dcterms:created>
  <dcterms:modified xsi:type="dcterms:W3CDTF">2019-07-09T21:00:40Z</dcterms:modified>
</cp:coreProperties>
</file>