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2017mgcweb\Casino_Gaming\rb_financials\FY20_FinReport\Mar2020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SLOT STATS" sheetId="4" r:id="rId4"/>
  </sheets>
  <definedNames>
    <definedName name="_xlnm.Print_Area" localSheetId="0">'MONTHLY STATS'!$A$1:$M$169</definedName>
    <definedName name="_xlnm.Print_Area" localSheetId="3">'SLOT STATS'!$A$1:$I$170</definedName>
    <definedName name="_xlnm.Print_Area" localSheetId="2">'TABLE STATS'!$A$1:$H$169</definedName>
    <definedName name="_xlnm.Print_Titles" localSheetId="0">'MONTHLY STATS'!$1:$7</definedName>
    <definedName name="_xlnm.Print_Titles" localSheetId="3">'SLOT STATS'!$1:$8</definedName>
    <definedName name="_xlnm.Print_Titles" localSheetId="2">'TABLE STATS'!$1:$7</definedName>
  </definedNames>
  <calcPr calcId="162913"/>
</workbook>
</file>

<file path=xl/calcChain.xml><?xml version="1.0" encoding="utf-8"?>
<calcChain xmlns="http://schemas.openxmlformats.org/spreadsheetml/2006/main">
  <c r="E168" i="4" l="1"/>
  <c r="D168" i="4"/>
  <c r="C168" i="4"/>
  <c r="F162" i="4"/>
  <c r="G162" i="4"/>
  <c r="H162" i="4" s="1"/>
  <c r="F150" i="4"/>
  <c r="G150" i="4"/>
  <c r="H150" i="4"/>
  <c r="F138" i="4"/>
  <c r="G138" i="4"/>
  <c r="H138" i="4"/>
  <c r="F126" i="4"/>
  <c r="G126" i="4"/>
  <c r="H126" i="4" s="1"/>
  <c r="F114" i="4"/>
  <c r="G114" i="4"/>
  <c r="H114" i="4" s="1"/>
  <c r="F102" i="4"/>
  <c r="G102" i="4"/>
  <c r="H102" i="4"/>
  <c r="F90" i="4"/>
  <c r="G90" i="4"/>
  <c r="H90" i="4"/>
  <c r="F78" i="4"/>
  <c r="G78" i="4"/>
  <c r="H78" i="4" s="1"/>
  <c r="F66" i="4"/>
  <c r="G66" i="4"/>
  <c r="H66" i="4" s="1"/>
  <c r="F54" i="4"/>
  <c r="G54" i="4"/>
  <c r="H54" i="4"/>
  <c r="F42" i="4"/>
  <c r="G42" i="4"/>
  <c r="H42" i="4"/>
  <c r="F30" i="4"/>
  <c r="G30" i="4"/>
  <c r="H30" i="4" s="1"/>
  <c r="F18" i="4"/>
  <c r="G18" i="4"/>
  <c r="H18" i="4" s="1"/>
  <c r="B162" i="4"/>
  <c r="B150" i="4"/>
  <c r="B138" i="4"/>
  <c r="B126" i="4"/>
  <c r="B114" i="4"/>
  <c r="B102" i="4"/>
  <c r="B90" i="4"/>
  <c r="B78" i="4"/>
  <c r="B66" i="4"/>
  <c r="B54" i="4"/>
  <c r="B42" i="4"/>
  <c r="B30" i="4"/>
  <c r="B18" i="4"/>
  <c r="E167" i="3"/>
  <c r="D167" i="3"/>
  <c r="G167" i="3" s="1"/>
  <c r="C167" i="3"/>
  <c r="F161" i="3"/>
  <c r="G161" i="3"/>
  <c r="F149" i="3"/>
  <c r="G149" i="3"/>
  <c r="F137" i="3"/>
  <c r="G137" i="3"/>
  <c r="F125" i="3"/>
  <c r="G125" i="3"/>
  <c r="F113" i="3"/>
  <c r="G113" i="3"/>
  <c r="F101" i="3"/>
  <c r="G101" i="3"/>
  <c r="F89" i="3"/>
  <c r="G89" i="3"/>
  <c r="F77" i="3"/>
  <c r="G77" i="3"/>
  <c r="F65" i="3"/>
  <c r="G65" i="3"/>
  <c r="F53" i="3"/>
  <c r="G53" i="3"/>
  <c r="F41" i="3"/>
  <c r="G41" i="3"/>
  <c r="F29" i="3"/>
  <c r="G29" i="3"/>
  <c r="F17" i="3"/>
  <c r="G17" i="3"/>
  <c r="B161" i="3"/>
  <c r="B149" i="3"/>
  <c r="B137" i="3"/>
  <c r="B125" i="3"/>
  <c r="B113" i="3"/>
  <c r="B101" i="3"/>
  <c r="B89" i="3"/>
  <c r="B77" i="3"/>
  <c r="B65" i="3"/>
  <c r="B53" i="3"/>
  <c r="B41" i="3"/>
  <c r="B29" i="3"/>
  <c r="B17" i="3"/>
  <c r="N39" i="2"/>
  <c r="M39" i="2"/>
  <c r="L39" i="2"/>
  <c r="K39" i="2"/>
  <c r="J39" i="2"/>
  <c r="I39" i="2"/>
  <c r="H39" i="2"/>
  <c r="G39" i="2"/>
  <c r="G44" i="2" s="1"/>
  <c r="F39" i="2"/>
  <c r="E39" i="2"/>
  <c r="O39" i="2" s="1"/>
  <c r="D39" i="2"/>
  <c r="C39" i="2"/>
  <c r="B39" i="2"/>
  <c r="N18" i="2"/>
  <c r="M18" i="2"/>
  <c r="L18" i="2"/>
  <c r="K18" i="2"/>
  <c r="J18" i="2"/>
  <c r="I18" i="2"/>
  <c r="H18" i="2"/>
  <c r="G18" i="2"/>
  <c r="F18" i="2"/>
  <c r="O18" i="2" s="1"/>
  <c r="E18" i="2"/>
  <c r="D18" i="2"/>
  <c r="C18" i="2"/>
  <c r="B18" i="2"/>
  <c r="A39" i="2"/>
  <c r="A18" i="2"/>
  <c r="F37" i="1"/>
  <c r="F100" i="1"/>
  <c r="J100" i="1" s="1"/>
  <c r="L167" i="1"/>
  <c r="K167" i="1"/>
  <c r="M167" i="1" s="1"/>
  <c r="D167" i="1"/>
  <c r="C167" i="1"/>
  <c r="M161" i="1"/>
  <c r="I161" i="1"/>
  <c r="J161" i="1"/>
  <c r="G161" i="1"/>
  <c r="F161" i="1"/>
  <c r="H161" i="1" s="1"/>
  <c r="E161" i="1"/>
  <c r="H149" i="1"/>
  <c r="M149" i="1"/>
  <c r="I149" i="1"/>
  <c r="J149" i="1"/>
  <c r="G149" i="1"/>
  <c r="F149" i="1"/>
  <c r="E149" i="1"/>
  <c r="M137" i="1"/>
  <c r="I137" i="1"/>
  <c r="G137" i="1"/>
  <c r="F137" i="1"/>
  <c r="H137" i="1" s="1"/>
  <c r="E137" i="1"/>
  <c r="H125" i="1"/>
  <c r="M125" i="1"/>
  <c r="I125" i="1"/>
  <c r="G125" i="1"/>
  <c r="F125" i="1"/>
  <c r="J125" i="1" s="1"/>
  <c r="E125" i="1"/>
  <c r="M113" i="1"/>
  <c r="I113" i="1"/>
  <c r="J113" i="1"/>
  <c r="G113" i="1"/>
  <c r="F113" i="1"/>
  <c r="H113" i="1" s="1"/>
  <c r="E113" i="1"/>
  <c r="M101" i="1"/>
  <c r="I101" i="1"/>
  <c r="J101" i="1"/>
  <c r="G101" i="1"/>
  <c r="F101" i="1"/>
  <c r="H101" i="1" s="1"/>
  <c r="E101" i="1"/>
  <c r="H89" i="1"/>
  <c r="M89" i="1"/>
  <c r="I89" i="1"/>
  <c r="J89" i="1"/>
  <c r="G89" i="1"/>
  <c r="F89" i="1"/>
  <c r="E89" i="1"/>
  <c r="M77" i="1"/>
  <c r="I77" i="1"/>
  <c r="G77" i="1"/>
  <c r="F77" i="1"/>
  <c r="H77" i="1" s="1"/>
  <c r="E77" i="1"/>
  <c r="H65" i="1"/>
  <c r="M65" i="1"/>
  <c r="I65" i="1"/>
  <c r="G65" i="1"/>
  <c r="F65" i="1"/>
  <c r="J65" i="1" s="1"/>
  <c r="E65" i="1"/>
  <c r="M53" i="1"/>
  <c r="I53" i="1"/>
  <c r="J53" i="1"/>
  <c r="G53" i="1"/>
  <c r="H53" i="1" s="1"/>
  <c r="F53" i="1"/>
  <c r="E53" i="1"/>
  <c r="M41" i="1"/>
  <c r="I41" i="1"/>
  <c r="J41" i="1"/>
  <c r="G41" i="1"/>
  <c r="F41" i="1"/>
  <c r="H41" i="1" s="1"/>
  <c r="E41" i="1"/>
  <c r="M29" i="1"/>
  <c r="I29" i="1"/>
  <c r="G29" i="1"/>
  <c r="F29" i="1"/>
  <c r="H29" i="1" s="1"/>
  <c r="E29" i="1"/>
  <c r="M17" i="1"/>
  <c r="I17" i="1"/>
  <c r="J17" i="1"/>
  <c r="G17" i="1"/>
  <c r="G167" i="1" s="1"/>
  <c r="F17" i="1"/>
  <c r="H17" i="1" s="1"/>
  <c r="E17" i="1"/>
  <c r="B161" i="1"/>
  <c r="B149" i="1"/>
  <c r="B137" i="1"/>
  <c r="B125" i="1"/>
  <c r="B113" i="1"/>
  <c r="B101" i="1"/>
  <c r="B89" i="1"/>
  <c r="B77" i="1"/>
  <c r="B65" i="1"/>
  <c r="B53" i="1"/>
  <c r="B41" i="1"/>
  <c r="B29" i="1"/>
  <c r="B17" i="1"/>
  <c r="F161" i="4"/>
  <c r="G161" i="4"/>
  <c r="H161" i="4" s="1"/>
  <c r="F149" i="4"/>
  <c r="G149" i="4"/>
  <c r="H149" i="4" s="1"/>
  <c r="F137" i="4"/>
  <c r="G137" i="4"/>
  <c r="H137" i="4" s="1"/>
  <c r="F125" i="4"/>
  <c r="G125" i="4"/>
  <c r="H125" i="4"/>
  <c r="F113" i="4"/>
  <c r="G113" i="4"/>
  <c r="H113" i="4" s="1"/>
  <c r="F101" i="4"/>
  <c r="G101" i="4"/>
  <c r="H101" i="4" s="1"/>
  <c r="F89" i="4"/>
  <c r="G89" i="4"/>
  <c r="H89" i="4" s="1"/>
  <c r="F77" i="4"/>
  <c r="G77" i="4"/>
  <c r="H77" i="4"/>
  <c r="F65" i="4"/>
  <c r="G65" i="4"/>
  <c r="H65" i="4" s="1"/>
  <c r="F53" i="4"/>
  <c r="G53" i="4"/>
  <c r="H53" i="4" s="1"/>
  <c r="F41" i="4"/>
  <c r="G41" i="4"/>
  <c r="H41" i="4" s="1"/>
  <c r="F29" i="4"/>
  <c r="G29" i="4"/>
  <c r="H29" i="4"/>
  <c r="F17" i="4"/>
  <c r="G17" i="4"/>
  <c r="H17" i="4" s="1"/>
  <c r="B161" i="4"/>
  <c r="B149" i="4"/>
  <c r="B137" i="4"/>
  <c r="B125" i="4"/>
  <c r="B113" i="4"/>
  <c r="B101" i="4"/>
  <c r="B89" i="4"/>
  <c r="B77" i="4"/>
  <c r="B65" i="4"/>
  <c r="B53" i="4"/>
  <c r="B41" i="4"/>
  <c r="B29" i="4"/>
  <c r="B17" i="4"/>
  <c r="F160" i="3"/>
  <c r="G160" i="3"/>
  <c r="F148" i="3"/>
  <c r="G148" i="3"/>
  <c r="F136" i="3"/>
  <c r="G136" i="3"/>
  <c r="F124" i="3"/>
  <c r="G124" i="3"/>
  <c r="F112" i="3"/>
  <c r="G112" i="3"/>
  <c r="F100" i="3"/>
  <c r="G100" i="3"/>
  <c r="F88" i="3"/>
  <c r="G88" i="3"/>
  <c r="F76" i="3"/>
  <c r="G76" i="3"/>
  <c r="F64" i="3"/>
  <c r="G64" i="3"/>
  <c r="F52" i="3"/>
  <c r="G52" i="3"/>
  <c r="F40" i="3"/>
  <c r="G40" i="3"/>
  <c r="F28" i="3"/>
  <c r="G28" i="3"/>
  <c r="F16" i="3"/>
  <c r="G16" i="3"/>
  <c r="B160" i="3"/>
  <c r="B148" i="3"/>
  <c r="B136" i="3"/>
  <c r="B124" i="3"/>
  <c r="B112" i="3"/>
  <c r="B100" i="3"/>
  <c r="B88" i="3"/>
  <c r="B76" i="3"/>
  <c r="B64" i="3"/>
  <c r="B52" i="3"/>
  <c r="B40" i="3"/>
  <c r="B28" i="3"/>
  <c r="B16" i="3"/>
  <c r="F63" i="1"/>
  <c r="F74" i="1"/>
  <c r="J74" i="1" s="1"/>
  <c r="F75" i="1"/>
  <c r="H75" i="1" s="1"/>
  <c r="F86" i="1"/>
  <c r="J86" i="1" s="1"/>
  <c r="F97" i="1"/>
  <c r="F106" i="1"/>
  <c r="F110" i="1"/>
  <c r="F120" i="1"/>
  <c r="F145" i="1"/>
  <c r="F147" i="1"/>
  <c r="J147" i="1" s="1"/>
  <c r="G97" i="1"/>
  <c r="G99" i="1"/>
  <c r="N38" i="2"/>
  <c r="M38" i="2"/>
  <c r="L38" i="2"/>
  <c r="O38" i="2" s="1"/>
  <c r="K38" i="2"/>
  <c r="J38" i="2"/>
  <c r="I38" i="2"/>
  <c r="H38" i="2"/>
  <c r="G38" i="2"/>
  <c r="F38" i="2"/>
  <c r="E38" i="2"/>
  <c r="D38" i="2"/>
  <c r="C38" i="2"/>
  <c r="B38" i="2"/>
  <c r="A3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H160" i="1"/>
  <c r="M160" i="1"/>
  <c r="I160" i="1"/>
  <c r="G160" i="1"/>
  <c r="F160" i="1"/>
  <c r="J160" i="1" s="1"/>
  <c r="E160" i="1"/>
  <c r="M148" i="1"/>
  <c r="I148" i="1"/>
  <c r="J148" i="1"/>
  <c r="G148" i="1"/>
  <c r="F148" i="1"/>
  <c r="H148" i="1" s="1"/>
  <c r="E148" i="1"/>
  <c r="M136" i="1"/>
  <c r="I136" i="1"/>
  <c r="J136" i="1"/>
  <c r="G136" i="1"/>
  <c r="F136" i="1"/>
  <c r="H136" i="1" s="1"/>
  <c r="E136" i="1"/>
  <c r="H124" i="1"/>
  <c r="M124" i="1"/>
  <c r="I124" i="1"/>
  <c r="J124" i="1"/>
  <c r="G124" i="1"/>
  <c r="F124" i="1"/>
  <c r="E124" i="1"/>
  <c r="M112" i="1"/>
  <c r="I112" i="1"/>
  <c r="G112" i="1"/>
  <c r="F112" i="1"/>
  <c r="H112" i="1" s="1"/>
  <c r="E112" i="1"/>
  <c r="M100" i="1"/>
  <c r="I100" i="1"/>
  <c r="G100" i="1"/>
  <c r="E100" i="1"/>
  <c r="M88" i="1"/>
  <c r="I88" i="1"/>
  <c r="G88" i="1"/>
  <c r="F88" i="1"/>
  <c r="H88" i="1" s="1"/>
  <c r="E88" i="1"/>
  <c r="H76" i="1"/>
  <c r="M76" i="1"/>
  <c r="I76" i="1"/>
  <c r="G76" i="1"/>
  <c r="F76" i="1"/>
  <c r="J76" i="1" s="1"/>
  <c r="E76" i="1"/>
  <c r="M64" i="1"/>
  <c r="I64" i="1"/>
  <c r="J64" i="1"/>
  <c r="G64" i="1"/>
  <c r="F64" i="1"/>
  <c r="H64" i="1" s="1"/>
  <c r="E64" i="1"/>
  <c r="M52" i="1"/>
  <c r="I52" i="1"/>
  <c r="J52" i="1"/>
  <c r="G52" i="1"/>
  <c r="F52" i="1"/>
  <c r="H52" i="1" s="1"/>
  <c r="E52" i="1"/>
  <c r="H40" i="1"/>
  <c r="M40" i="1"/>
  <c r="I40" i="1"/>
  <c r="J40" i="1"/>
  <c r="G40" i="1"/>
  <c r="F40" i="1"/>
  <c r="E40" i="1"/>
  <c r="M28" i="1"/>
  <c r="I28" i="1"/>
  <c r="G28" i="1"/>
  <c r="F28" i="1"/>
  <c r="H28" i="1" s="1"/>
  <c r="E28" i="1"/>
  <c r="H16" i="1"/>
  <c r="M16" i="1"/>
  <c r="I16" i="1"/>
  <c r="G16" i="1"/>
  <c r="F16" i="1"/>
  <c r="J16" i="1" s="1"/>
  <c r="E16" i="1"/>
  <c r="B160" i="1"/>
  <c r="B148" i="1"/>
  <c r="B136" i="1"/>
  <c r="B124" i="1"/>
  <c r="B112" i="1"/>
  <c r="B100" i="1"/>
  <c r="B88" i="1"/>
  <c r="B76" i="1"/>
  <c r="B64" i="1"/>
  <c r="B52" i="1"/>
  <c r="B40" i="1"/>
  <c r="B28" i="1"/>
  <c r="B16" i="1"/>
  <c r="F160" i="4"/>
  <c r="G160" i="4"/>
  <c r="H160" i="4"/>
  <c r="F148" i="4"/>
  <c r="G148" i="4"/>
  <c r="H148" i="4"/>
  <c r="F136" i="4"/>
  <c r="G136" i="4"/>
  <c r="H136" i="4"/>
  <c r="F124" i="4"/>
  <c r="G124" i="4"/>
  <c r="H124" i="4" s="1"/>
  <c r="F112" i="4"/>
  <c r="G112" i="4"/>
  <c r="H112" i="4"/>
  <c r="F100" i="4"/>
  <c r="G100" i="4"/>
  <c r="H100" i="4"/>
  <c r="F88" i="4"/>
  <c r="G88" i="4"/>
  <c r="H88" i="4"/>
  <c r="F76" i="4"/>
  <c r="G76" i="4"/>
  <c r="H76" i="4" s="1"/>
  <c r="F64" i="4"/>
  <c r="G64" i="4"/>
  <c r="H64" i="4"/>
  <c r="F52" i="4"/>
  <c r="G52" i="4"/>
  <c r="H52" i="4"/>
  <c r="F40" i="4"/>
  <c r="G40" i="4"/>
  <c r="H40" i="4"/>
  <c r="F28" i="4"/>
  <c r="G28" i="4"/>
  <c r="H28" i="4" s="1"/>
  <c r="F16" i="4"/>
  <c r="G16" i="4"/>
  <c r="H16" i="4"/>
  <c r="B160" i="4"/>
  <c r="B148" i="4"/>
  <c r="B136" i="4"/>
  <c r="B124" i="4"/>
  <c r="B112" i="4"/>
  <c r="B100" i="4"/>
  <c r="B88" i="4"/>
  <c r="B76" i="4"/>
  <c r="B64" i="4"/>
  <c r="B52" i="4"/>
  <c r="B40" i="4"/>
  <c r="B28" i="4"/>
  <c r="B16" i="4"/>
  <c r="F159" i="3"/>
  <c r="G159" i="3"/>
  <c r="F147" i="3"/>
  <c r="G147" i="3"/>
  <c r="F135" i="3"/>
  <c r="G135" i="3"/>
  <c r="F123" i="3"/>
  <c r="G123" i="3"/>
  <c r="F111" i="3"/>
  <c r="G111" i="3"/>
  <c r="F99" i="3"/>
  <c r="G99" i="3"/>
  <c r="F87" i="3"/>
  <c r="G87" i="3"/>
  <c r="F75" i="3"/>
  <c r="G75" i="3"/>
  <c r="F63" i="3"/>
  <c r="G63" i="3"/>
  <c r="F51" i="3"/>
  <c r="G51" i="3"/>
  <c r="F39" i="3"/>
  <c r="G39" i="3"/>
  <c r="F27" i="3"/>
  <c r="G27" i="3"/>
  <c r="F15" i="3"/>
  <c r="G15" i="3"/>
  <c r="B159" i="3"/>
  <c r="B147" i="3"/>
  <c r="B135" i="3"/>
  <c r="B123" i="3"/>
  <c r="B111" i="3"/>
  <c r="B99" i="3"/>
  <c r="B87" i="3"/>
  <c r="B75" i="3"/>
  <c r="B63" i="3"/>
  <c r="B51" i="3"/>
  <c r="B39" i="3"/>
  <c r="B27" i="3"/>
  <c r="B15" i="3"/>
  <c r="F38" i="1"/>
  <c r="F72" i="1"/>
  <c r="F95" i="1"/>
  <c r="F122" i="1"/>
  <c r="J122" i="1" s="1"/>
  <c r="N37" i="2"/>
  <c r="M37" i="2"/>
  <c r="L37" i="2"/>
  <c r="K37" i="2"/>
  <c r="J37" i="2"/>
  <c r="I37" i="2"/>
  <c r="H37" i="2"/>
  <c r="G37" i="2"/>
  <c r="F37" i="2"/>
  <c r="E37" i="2"/>
  <c r="D37" i="2"/>
  <c r="C37" i="2"/>
  <c r="O37" i="2" s="1"/>
  <c r="B3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37" i="2"/>
  <c r="A16" i="2"/>
  <c r="H159" i="1"/>
  <c r="M159" i="1"/>
  <c r="I159" i="1"/>
  <c r="J159" i="1"/>
  <c r="G159" i="1"/>
  <c r="F159" i="1"/>
  <c r="E159" i="1"/>
  <c r="M147" i="1"/>
  <c r="I147" i="1"/>
  <c r="G147" i="1"/>
  <c r="E147" i="1"/>
  <c r="H135" i="1"/>
  <c r="M135" i="1"/>
  <c r="I135" i="1"/>
  <c r="J135" i="1"/>
  <c r="G135" i="1"/>
  <c r="F135" i="1"/>
  <c r="E135" i="1"/>
  <c r="M123" i="1"/>
  <c r="I123" i="1"/>
  <c r="G123" i="1"/>
  <c r="F123" i="1"/>
  <c r="F127" i="1" s="1"/>
  <c r="E123" i="1"/>
  <c r="H111" i="1"/>
  <c r="M111" i="1"/>
  <c r="I111" i="1"/>
  <c r="G111" i="1"/>
  <c r="F111" i="1"/>
  <c r="J111" i="1" s="1"/>
  <c r="E111" i="1"/>
  <c r="M99" i="1"/>
  <c r="I99" i="1"/>
  <c r="J99" i="1"/>
  <c r="H99" i="1"/>
  <c r="F99" i="1"/>
  <c r="E99" i="1"/>
  <c r="M87" i="1"/>
  <c r="I87" i="1"/>
  <c r="G87" i="1"/>
  <c r="F87" i="1"/>
  <c r="H87" i="1" s="1"/>
  <c r="E87" i="1"/>
  <c r="M75" i="1"/>
  <c r="I75" i="1"/>
  <c r="G75" i="1"/>
  <c r="E75" i="1"/>
  <c r="M63" i="1"/>
  <c r="I63" i="1"/>
  <c r="G63" i="1"/>
  <c r="J63" i="1"/>
  <c r="E63" i="1"/>
  <c r="M51" i="1"/>
  <c r="I51" i="1"/>
  <c r="J51" i="1"/>
  <c r="G51" i="1"/>
  <c r="F51" i="1"/>
  <c r="H51" i="1" s="1"/>
  <c r="E51" i="1"/>
  <c r="M39" i="1"/>
  <c r="I39" i="1"/>
  <c r="J39" i="1"/>
  <c r="G39" i="1"/>
  <c r="F39" i="1"/>
  <c r="H39" i="1" s="1"/>
  <c r="E39" i="1"/>
  <c r="H27" i="1"/>
  <c r="M27" i="1"/>
  <c r="I27" i="1"/>
  <c r="J27" i="1"/>
  <c r="G27" i="1"/>
  <c r="F27" i="1"/>
  <c r="E27" i="1"/>
  <c r="M15" i="1"/>
  <c r="I15" i="1"/>
  <c r="G15" i="1"/>
  <c r="F15" i="1"/>
  <c r="H15" i="1" s="1"/>
  <c r="E15" i="1"/>
  <c r="B159" i="1"/>
  <c r="B147" i="1"/>
  <c r="B135" i="1"/>
  <c r="B123" i="1"/>
  <c r="B111" i="1"/>
  <c r="B99" i="1"/>
  <c r="B87" i="1"/>
  <c r="B75" i="1"/>
  <c r="B63" i="1"/>
  <c r="B51" i="1"/>
  <c r="B39" i="1"/>
  <c r="B27" i="1"/>
  <c r="B15" i="1"/>
  <c r="F159" i="4"/>
  <c r="G159" i="4"/>
  <c r="H159" i="4"/>
  <c r="F147" i="4"/>
  <c r="G147" i="4"/>
  <c r="H147" i="4" s="1"/>
  <c r="F135" i="4"/>
  <c r="G135" i="4"/>
  <c r="H135" i="4"/>
  <c r="F123" i="4"/>
  <c r="G123" i="4"/>
  <c r="H123" i="4"/>
  <c r="F111" i="4"/>
  <c r="G111" i="4"/>
  <c r="H111" i="4"/>
  <c r="F99" i="4"/>
  <c r="G99" i="4"/>
  <c r="H99" i="4" s="1"/>
  <c r="F87" i="4"/>
  <c r="G87" i="4"/>
  <c r="H87" i="4"/>
  <c r="F75" i="4"/>
  <c r="G75" i="4"/>
  <c r="H75" i="4"/>
  <c r="F63" i="4"/>
  <c r="G63" i="4"/>
  <c r="H63" i="4"/>
  <c r="F51" i="4"/>
  <c r="G51" i="4"/>
  <c r="H51" i="4" s="1"/>
  <c r="F39" i="4"/>
  <c r="G39" i="4"/>
  <c r="H39" i="4"/>
  <c r="F27" i="4"/>
  <c r="G27" i="4"/>
  <c r="H27" i="4"/>
  <c r="F15" i="4"/>
  <c r="G15" i="4"/>
  <c r="H15" i="4"/>
  <c r="B159" i="4"/>
  <c r="B147" i="4"/>
  <c r="B135" i="4"/>
  <c r="B123" i="4"/>
  <c r="B111" i="4"/>
  <c r="B99" i="4"/>
  <c r="B87" i="4"/>
  <c r="B75" i="4"/>
  <c r="B63" i="4"/>
  <c r="B51" i="4"/>
  <c r="B39" i="4"/>
  <c r="B27" i="4"/>
  <c r="B15" i="4"/>
  <c r="F158" i="3"/>
  <c r="G158" i="3"/>
  <c r="F146" i="3"/>
  <c r="G146" i="3"/>
  <c r="F134" i="3"/>
  <c r="G134" i="3"/>
  <c r="F122" i="3"/>
  <c r="G122" i="3"/>
  <c r="F110" i="3"/>
  <c r="G110" i="3"/>
  <c r="F98" i="3"/>
  <c r="G98" i="3"/>
  <c r="F86" i="3"/>
  <c r="G86" i="3"/>
  <c r="F74" i="3"/>
  <c r="G74" i="3"/>
  <c r="F62" i="3"/>
  <c r="G62" i="3"/>
  <c r="F50" i="3"/>
  <c r="G50" i="3"/>
  <c r="F38" i="3"/>
  <c r="G38" i="3"/>
  <c r="F26" i="3"/>
  <c r="G26" i="3"/>
  <c r="F14" i="3"/>
  <c r="G14" i="3"/>
  <c r="B158" i="3"/>
  <c r="B146" i="3"/>
  <c r="B134" i="3"/>
  <c r="B122" i="3"/>
  <c r="B110" i="3"/>
  <c r="B98" i="3"/>
  <c r="B86" i="3"/>
  <c r="B74" i="3"/>
  <c r="B62" i="3"/>
  <c r="B50" i="3"/>
  <c r="B38" i="3"/>
  <c r="B26" i="3"/>
  <c r="B14" i="3"/>
  <c r="N36" i="2"/>
  <c r="M36" i="2"/>
  <c r="L36" i="2"/>
  <c r="O36" i="2" s="1"/>
  <c r="K36" i="2"/>
  <c r="J36" i="2"/>
  <c r="I36" i="2"/>
  <c r="H36" i="2"/>
  <c r="G36" i="2"/>
  <c r="F36" i="2"/>
  <c r="E36" i="2"/>
  <c r="D36" i="2"/>
  <c r="C36" i="2"/>
  <c r="B3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O15" i="2" s="1"/>
  <c r="A36" i="2"/>
  <c r="A15" i="2"/>
  <c r="F73" i="1"/>
  <c r="H73" i="1" s="1"/>
  <c r="F121" i="1"/>
  <c r="F119" i="1"/>
  <c r="M158" i="1"/>
  <c r="I158" i="1"/>
  <c r="J158" i="1"/>
  <c r="G158" i="1"/>
  <c r="F158" i="1"/>
  <c r="H158" i="1" s="1"/>
  <c r="E158" i="1"/>
  <c r="H146" i="1"/>
  <c r="M146" i="1"/>
  <c r="I146" i="1"/>
  <c r="J146" i="1"/>
  <c r="G146" i="1"/>
  <c r="F146" i="1"/>
  <c r="E146" i="1"/>
  <c r="M134" i="1"/>
  <c r="I134" i="1"/>
  <c r="G134" i="1"/>
  <c r="F134" i="1"/>
  <c r="H134" i="1" s="1"/>
  <c r="E134" i="1"/>
  <c r="M122" i="1"/>
  <c r="I122" i="1"/>
  <c r="G122" i="1"/>
  <c r="E122" i="1"/>
  <c r="M110" i="1"/>
  <c r="I110" i="1"/>
  <c r="J110" i="1"/>
  <c r="G110" i="1"/>
  <c r="H110" i="1"/>
  <c r="E110" i="1"/>
  <c r="H98" i="1"/>
  <c r="M98" i="1"/>
  <c r="I98" i="1"/>
  <c r="G98" i="1"/>
  <c r="F98" i="1"/>
  <c r="J98" i="1" s="1"/>
  <c r="E98" i="1"/>
  <c r="M86" i="1"/>
  <c r="I86" i="1"/>
  <c r="G86" i="1"/>
  <c r="E86" i="1"/>
  <c r="M74" i="1"/>
  <c r="I74" i="1"/>
  <c r="G74" i="1"/>
  <c r="E74" i="1"/>
  <c r="M62" i="1"/>
  <c r="I62" i="1"/>
  <c r="J62" i="1"/>
  <c r="G62" i="1"/>
  <c r="F62" i="1"/>
  <c r="E62" i="1"/>
  <c r="H50" i="1"/>
  <c r="M50" i="1"/>
  <c r="I50" i="1"/>
  <c r="J50" i="1"/>
  <c r="G50" i="1"/>
  <c r="F50" i="1"/>
  <c r="E50" i="1"/>
  <c r="M38" i="1"/>
  <c r="I38" i="1"/>
  <c r="G38" i="1"/>
  <c r="J38" i="1"/>
  <c r="E38" i="1"/>
  <c r="H26" i="1"/>
  <c r="M26" i="1"/>
  <c r="I26" i="1"/>
  <c r="J26" i="1"/>
  <c r="G26" i="1"/>
  <c r="F26" i="1"/>
  <c r="E26" i="1"/>
  <c r="M14" i="1"/>
  <c r="I14" i="1"/>
  <c r="G14" i="1"/>
  <c r="F14" i="1"/>
  <c r="H14" i="1" s="1"/>
  <c r="E14" i="1"/>
  <c r="B158" i="1"/>
  <c r="B146" i="1"/>
  <c r="B134" i="1"/>
  <c r="B122" i="1"/>
  <c r="B110" i="1"/>
  <c r="B98" i="1"/>
  <c r="B86" i="1"/>
  <c r="B74" i="1"/>
  <c r="B62" i="1"/>
  <c r="B50" i="1"/>
  <c r="B38" i="1"/>
  <c r="B26" i="1"/>
  <c r="B14" i="1"/>
  <c r="F13" i="1"/>
  <c r="H13" i="1" s="1"/>
  <c r="F158" i="4"/>
  <c r="G158" i="4"/>
  <c r="H158" i="4"/>
  <c r="F146" i="4"/>
  <c r="G146" i="4"/>
  <c r="H146" i="4" s="1"/>
  <c r="F134" i="4"/>
  <c r="G134" i="4"/>
  <c r="H134" i="4"/>
  <c r="F122" i="4"/>
  <c r="G122" i="4"/>
  <c r="H122" i="4"/>
  <c r="F110" i="4"/>
  <c r="G110" i="4"/>
  <c r="H110" i="4"/>
  <c r="F98" i="4"/>
  <c r="G98" i="4"/>
  <c r="H98" i="4" s="1"/>
  <c r="F86" i="4"/>
  <c r="G86" i="4"/>
  <c r="H86" i="4"/>
  <c r="F74" i="4"/>
  <c r="G74" i="4"/>
  <c r="H74" i="4"/>
  <c r="F62" i="4"/>
  <c r="G62" i="4"/>
  <c r="H62" i="4"/>
  <c r="F50" i="4"/>
  <c r="G50" i="4"/>
  <c r="H50" i="4" s="1"/>
  <c r="F38" i="4"/>
  <c r="G38" i="4"/>
  <c r="H38" i="4"/>
  <c r="F26" i="4"/>
  <c r="G26" i="4"/>
  <c r="H26" i="4"/>
  <c r="F14" i="4"/>
  <c r="G14" i="4"/>
  <c r="H14" i="4"/>
  <c r="B158" i="4"/>
  <c r="B146" i="4"/>
  <c r="B134" i="4"/>
  <c r="B122" i="4"/>
  <c r="B110" i="4"/>
  <c r="B98" i="4"/>
  <c r="B86" i="4"/>
  <c r="B74" i="4"/>
  <c r="B62" i="4"/>
  <c r="B50" i="4"/>
  <c r="B38" i="4"/>
  <c r="B26" i="4"/>
  <c r="B14" i="4"/>
  <c r="F157" i="3"/>
  <c r="G157" i="3"/>
  <c r="F145" i="3"/>
  <c r="G145" i="3"/>
  <c r="F133" i="3"/>
  <c r="G133" i="3"/>
  <c r="F121" i="3"/>
  <c r="G121" i="3"/>
  <c r="F109" i="3"/>
  <c r="G109" i="3"/>
  <c r="F97" i="3"/>
  <c r="G97" i="3"/>
  <c r="F85" i="3"/>
  <c r="G85" i="3"/>
  <c r="F73" i="3"/>
  <c r="G73" i="3"/>
  <c r="F61" i="3"/>
  <c r="G61" i="3"/>
  <c r="F49" i="3"/>
  <c r="G49" i="3"/>
  <c r="F37" i="3"/>
  <c r="G37" i="3"/>
  <c r="F25" i="3"/>
  <c r="G25" i="3"/>
  <c r="F13" i="3"/>
  <c r="G13" i="3"/>
  <c r="B157" i="3"/>
  <c r="B145" i="3"/>
  <c r="B133" i="3"/>
  <c r="B121" i="3"/>
  <c r="B109" i="3"/>
  <c r="B97" i="3"/>
  <c r="B85" i="3"/>
  <c r="B73" i="3"/>
  <c r="B61" i="3"/>
  <c r="B49" i="3"/>
  <c r="B37" i="3"/>
  <c r="B25" i="3"/>
  <c r="B13" i="3"/>
  <c r="N35" i="2"/>
  <c r="M35" i="2"/>
  <c r="L35" i="2"/>
  <c r="L44" i="2" s="1"/>
  <c r="K35" i="2"/>
  <c r="J35" i="2"/>
  <c r="O35" i="2" s="1"/>
  <c r="I35" i="2"/>
  <c r="H35" i="2"/>
  <c r="G35" i="2"/>
  <c r="F35" i="2"/>
  <c r="E35" i="2"/>
  <c r="D35" i="2"/>
  <c r="C35" i="2"/>
  <c r="B35" i="2"/>
  <c r="N14" i="2"/>
  <c r="M14" i="2"/>
  <c r="L14" i="2"/>
  <c r="K14" i="2"/>
  <c r="J14" i="2"/>
  <c r="I14" i="2"/>
  <c r="H14" i="2"/>
  <c r="G14" i="2"/>
  <c r="F14" i="2"/>
  <c r="E14" i="2"/>
  <c r="D14" i="2"/>
  <c r="C14" i="2"/>
  <c r="O14" i="2" s="1"/>
  <c r="A35" i="2"/>
  <c r="A14" i="2"/>
  <c r="F143" i="1"/>
  <c r="H157" i="1"/>
  <c r="M157" i="1"/>
  <c r="I157" i="1"/>
  <c r="G157" i="1"/>
  <c r="F157" i="1"/>
  <c r="J157" i="1" s="1"/>
  <c r="E157" i="1"/>
  <c r="M145" i="1"/>
  <c r="I145" i="1"/>
  <c r="G145" i="1"/>
  <c r="H145" i="1" s="1"/>
  <c r="F151" i="1"/>
  <c r="J151" i="1" s="1"/>
  <c r="E145" i="1"/>
  <c r="H133" i="1"/>
  <c r="M133" i="1"/>
  <c r="I133" i="1"/>
  <c r="G133" i="1"/>
  <c r="F133" i="1"/>
  <c r="J133" i="1" s="1"/>
  <c r="E133" i="1"/>
  <c r="M121" i="1"/>
  <c r="I121" i="1"/>
  <c r="G121" i="1"/>
  <c r="H121" i="1" s="1"/>
  <c r="J121" i="1"/>
  <c r="E121" i="1"/>
  <c r="H109" i="1"/>
  <c r="M109" i="1"/>
  <c r="I109" i="1"/>
  <c r="G109" i="1"/>
  <c r="F109" i="1"/>
  <c r="J109" i="1" s="1"/>
  <c r="E109" i="1"/>
  <c r="M97" i="1"/>
  <c r="I97" i="1"/>
  <c r="J97" i="1"/>
  <c r="H97" i="1"/>
  <c r="E97" i="1"/>
  <c r="H85" i="1"/>
  <c r="M85" i="1"/>
  <c r="I85" i="1"/>
  <c r="G85" i="1"/>
  <c r="F85" i="1"/>
  <c r="J85" i="1" s="1"/>
  <c r="E85" i="1"/>
  <c r="M73" i="1"/>
  <c r="I73" i="1"/>
  <c r="J73" i="1"/>
  <c r="G73" i="1"/>
  <c r="E73" i="1"/>
  <c r="M61" i="1"/>
  <c r="I61" i="1"/>
  <c r="G61" i="1"/>
  <c r="F61" i="1"/>
  <c r="H61" i="1" s="1"/>
  <c r="E61" i="1"/>
  <c r="M49" i="1"/>
  <c r="I49" i="1"/>
  <c r="G49" i="1"/>
  <c r="F49" i="1"/>
  <c r="H49" i="1" s="1"/>
  <c r="E49" i="1"/>
  <c r="M37" i="1"/>
  <c r="I37" i="1"/>
  <c r="G37" i="1"/>
  <c r="J37" i="1"/>
  <c r="E37" i="1"/>
  <c r="M25" i="1"/>
  <c r="I25" i="1"/>
  <c r="G25" i="1"/>
  <c r="F25" i="1"/>
  <c r="H25" i="1" s="1"/>
  <c r="E25" i="1"/>
  <c r="M13" i="1"/>
  <c r="G13" i="1"/>
  <c r="B157" i="1"/>
  <c r="B145" i="1"/>
  <c r="B144" i="1"/>
  <c r="B133" i="1"/>
  <c r="B121" i="1"/>
  <c r="B109" i="1"/>
  <c r="B97" i="1"/>
  <c r="B85" i="1"/>
  <c r="B73" i="1"/>
  <c r="B61" i="1"/>
  <c r="B49" i="1"/>
  <c r="B37" i="1"/>
  <c r="B25" i="1"/>
  <c r="B13" i="1"/>
  <c r="F157" i="4"/>
  <c r="G157" i="4"/>
  <c r="H157" i="4"/>
  <c r="F145" i="4"/>
  <c r="G145" i="4"/>
  <c r="H145" i="4"/>
  <c r="F133" i="4"/>
  <c r="G133" i="4"/>
  <c r="H133" i="4"/>
  <c r="F121" i="4"/>
  <c r="G121" i="4"/>
  <c r="H121" i="4" s="1"/>
  <c r="F109" i="4"/>
  <c r="G109" i="4"/>
  <c r="H109" i="4"/>
  <c r="F97" i="4"/>
  <c r="G97" i="4"/>
  <c r="H97" i="4"/>
  <c r="F85" i="4"/>
  <c r="G85" i="4"/>
  <c r="H85" i="4"/>
  <c r="F73" i="4"/>
  <c r="G73" i="4"/>
  <c r="H73" i="4" s="1"/>
  <c r="F61" i="4"/>
  <c r="G61" i="4"/>
  <c r="H61" i="4"/>
  <c r="F49" i="4"/>
  <c r="G49" i="4"/>
  <c r="H49" i="4"/>
  <c r="F37" i="4"/>
  <c r="G37" i="4"/>
  <c r="H37" i="4"/>
  <c r="F25" i="4"/>
  <c r="G25" i="4"/>
  <c r="H25" i="4" s="1"/>
  <c r="G13" i="4"/>
  <c r="H13" i="4" s="1"/>
  <c r="F13" i="4"/>
  <c r="B157" i="4"/>
  <c r="B145" i="4"/>
  <c r="B133" i="4"/>
  <c r="B121" i="4"/>
  <c r="B109" i="4"/>
  <c r="B97" i="4"/>
  <c r="B85" i="4"/>
  <c r="B73" i="4"/>
  <c r="B61" i="4"/>
  <c r="B49" i="4"/>
  <c r="B37" i="4"/>
  <c r="B25" i="4"/>
  <c r="B13" i="4"/>
  <c r="F156" i="3"/>
  <c r="G156" i="3"/>
  <c r="F144" i="3"/>
  <c r="G144" i="3"/>
  <c r="F132" i="3"/>
  <c r="G132" i="3"/>
  <c r="F120" i="3"/>
  <c r="G120" i="3"/>
  <c r="F108" i="3"/>
  <c r="G108" i="3"/>
  <c r="F96" i="3"/>
  <c r="G96" i="3"/>
  <c r="F84" i="3"/>
  <c r="G84" i="3"/>
  <c r="F72" i="3"/>
  <c r="G72" i="3"/>
  <c r="F60" i="3"/>
  <c r="G60" i="3"/>
  <c r="F48" i="3"/>
  <c r="G48" i="3"/>
  <c r="F36" i="3"/>
  <c r="G36" i="3"/>
  <c r="F24" i="3"/>
  <c r="G24" i="3"/>
  <c r="G12" i="3"/>
  <c r="F12" i="3"/>
  <c r="B156" i="3"/>
  <c r="B144" i="3"/>
  <c r="B132" i="3"/>
  <c r="B120" i="3"/>
  <c r="B108" i="3"/>
  <c r="B96" i="3"/>
  <c r="B84" i="3"/>
  <c r="B72" i="3"/>
  <c r="B60" i="3"/>
  <c r="B48" i="3"/>
  <c r="B36" i="3"/>
  <c r="B24" i="3"/>
  <c r="B12" i="3"/>
  <c r="F33" i="1"/>
  <c r="F71" i="1"/>
  <c r="F94" i="1"/>
  <c r="F93" i="1"/>
  <c r="H93" i="1" s="1"/>
  <c r="J119" i="1"/>
  <c r="F118" i="1"/>
  <c r="F117" i="1"/>
  <c r="F153" i="1"/>
  <c r="J153" i="1" s="1"/>
  <c r="N34" i="2"/>
  <c r="M34" i="2"/>
  <c r="L34" i="2"/>
  <c r="K34" i="2"/>
  <c r="J34" i="2"/>
  <c r="I34" i="2"/>
  <c r="H34" i="2"/>
  <c r="G34" i="2"/>
  <c r="F34" i="2"/>
  <c r="E34" i="2"/>
  <c r="D34" i="2"/>
  <c r="C34" i="2"/>
  <c r="O34" i="2" s="1"/>
  <c r="B34" i="2"/>
  <c r="A34" i="2"/>
  <c r="N13" i="2"/>
  <c r="M13" i="2"/>
  <c r="L13" i="2"/>
  <c r="K13" i="2"/>
  <c r="J13" i="2"/>
  <c r="I13" i="2"/>
  <c r="H13" i="2"/>
  <c r="G13" i="2"/>
  <c r="F13" i="2"/>
  <c r="E13" i="2"/>
  <c r="D13" i="2"/>
  <c r="C13" i="2"/>
  <c r="O13" i="2" s="1"/>
  <c r="B13" i="2"/>
  <c r="A13" i="2"/>
  <c r="M156" i="1"/>
  <c r="I156" i="1"/>
  <c r="J156" i="1"/>
  <c r="G156" i="1"/>
  <c r="F156" i="1"/>
  <c r="H156" i="1" s="1"/>
  <c r="E156" i="1"/>
  <c r="H144" i="1"/>
  <c r="M144" i="1"/>
  <c r="I144" i="1"/>
  <c r="J144" i="1"/>
  <c r="G144" i="1"/>
  <c r="F144" i="1"/>
  <c r="E144" i="1"/>
  <c r="M132" i="1"/>
  <c r="I132" i="1"/>
  <c r="G132" i="1"/>
  <c r="F132" i="1"/>
  <c r="H132" i="1" s="1"/>
  <c r="E132" i="1"/>
  <c r="H120" i="1"/>
  <c r="M120" i="1"/>
  <c r="I120" i="1"/>
  <c r="G120" i="1"/>
  <c r="J120" i="1"/>
  <c r="E120" i="1"/>
  <c r="M108" i="1"/>
  <c r="I108" i="1"/>
  <c r="J108" i="1"/>
  <c r="G108" i="1"/>
  <c r="H108" i="1" s="1"/>
  <c r="F108" i="1"/>
  <c r="E108" i="1"/>
  <c r="M96" i="1"/>
  <c r="I96" i="1"/>
  <c r="G96" i="1"/>
  <c r="F96" i="1"/>
  <c r="J96" i="1"/>
  <c r="E96" i="1"/>
  <c r="M84" i="1"/>
  <c r="I84" i="1"/>
  <c r="J84" i="1"/>
  <c r="G84" i="1"/>
  <c r="F84" i="1"/>
  <c r="H84" i="1" s="1"/>
  <c r="E84" i="1"/>
  <c r="M72" i="1"/>
  <c r="I72" i="1"/>
  <c r="G72" i="1"/>
  <c r="J72" i="1"/>
  <c r="E72" i="1"/>
  <c r="M60" i="1"/>
  <c r="I60" i="1"/>
  <c r="J60" i="1"/>
  <c r="G60" i="1"/>
  <c r="F60" i="1"/>
  <c r="H60" i="1" s="1"/>
  <c r="E60" i="1"/>
  <c r="M48" i="1"/>
  <c r="I48" i="1"/>
  <c r="J48" i="1"/>
  <c r="G48" i="1"/>
  <c r="F48" i="1"/>
  <c r="H48" i="1" s="1"/>
  <c r="E48" i="1"/>
  <c r="M36" i="1"/>
  <c r="I36" i="1"/>
  <c r="J36" i="1"/>
  <c r="G36" i="1"/>
  <c r="H36" i="1" s="1"/>
  <c r="F36" i="1"/>
  <c r="E36" i="1"/>
  <c r="M24" i="1"/>
  <c r="I24" i="1"/>
  <c r="G24" i="1"/>
  <c r="F24" i="1"/>
  <c r="H24" i="1" s="1"/>
  <c r="E24" i="1"/>
  <c r="M12" i="1"/>
  <c r="J12" i="1"/>
  <c r="I12" i="1"/>
  <c r="E12" i="1"/>
  <c r="G12" i="1"/>
  <c r="F12" i="1"/>
  <c r="H12" i="1" s="1"/>
  <c r="B156" i="1"/>
  <c r="B132" i="1"/>
  <c r="B120" i="1"/>
  <c r="B108" i="1"/>
  <c r="B96" i="1"/>
  <c r="B84" i="1"/>
  <c r="B72" i="1"/>
  <c r="B60" i="1"/>
  <c r="B48" i="1"/>
  <c r="B36" i="1"/>
  <c r="B24" i="1"/>
  <c r="B12" i="1"/>
  <c r="G156" i="4"/>
  <c r="H156" i="4" s="1"/>
  <c r="F156" i="4"/>
  <c r="G144" i="4"/>
  <c r="H144" i="4"/>
  <c r="F144" i="4"/>
  <c r="G132" i="4"/>
  <c r="H132" i="4" s="1"/>
  <c r="F132" i="4"/>
  <c r="G120" i="4"/>
  <c r="H120" i="4" s="1"/>
  <c r="F120" i="4"/>
  <c r="G108" i="4"/>
  <c r="H108" i="4" s="1"/>
  <c r="F108" i="4"/>
  <c r="G96" i="4"/>
  <c r="H96" i="4"/>
  <c r="F96" i="4"/>
  <c r="G84" i="4"/>
  <c r="H84" i="4" s="1"/>
  <c r="F84" i="4"/>
  <c r="G72" i="4"/>
  <c r="H72" i="4" s="1"/>
  <c r="F72" i="4"/>
  <c r="G60" i="4"/>
  <c r="H60" i="4" s="1"/>
  <c r="F60" i="4"/>
  <c r="G48" i="4"/>
  <c r="H48" i="4"/>
  <c r="F48" i="4"/>
  <c r="G36" i="4"/>
  <c r="H36" i="4" s="1"/>
  <c r="F36" i="4"/>
  <c r="G24" i="4"/>
  <c r="H24" i="4" s="1"/>
  <c r="F24" i="4"/>
  <c r="G12" i="4"/>
  <c r="H12" i="4" s="1"/>
  <c r="F12" i="4"/>
  <c r="B156" i="4"/>
  <c r="B144" i="4"/>
  <c r="B132" i="4"/>
  <c r="B120" i="4"/>
  <c r="B108" i="4"/>
  <c r="B96" i="4"/>
  <c r="B84" i="4"/>
  <c r="B72" i="4"/>
  <c r="B60" i="4"/>
  <c r="B48" i="4"/>
  <c r="B36" i="4"/>
  <c r="B24" i="4"/>
  <c r="B12" i="4"/>
  <c r="G155" i="3"/>
  <c r="F155" i="3"/>
  <c r="G143" i="3"/>
  <c r="F143" i="3"/>
  <c r="G131" i="3"/>
  <c r="F131" i="3"/>
  <c r="G119" i="3"/>
  <c r="F119" i="3"/>
  <c r="G107" i="3"/>
  <c r="F107" i="3"/>
  <c r="G95" i="3"/>
  <c r="F95" i="3"/>
  <c r="G83" i="3"/>
  <c r="F83" i="3"/>
  <c r="G71" i="3"/>
  <c r="F71" i="3"/>
  <c r="G59" i="3"/>
  <c r="F59" i="3"/>
  <c r="G47" i="3"/>
  <c r="F47" i="3"/>
  <c r="G35" i="3"/>
  <c r="F35" i="3"/>
  <c r="G23" i="3"/>
  <c r="F23" i="3"/>
  <c r="G11" i="3"/>
  <c r="F11" i="3"/>
  <c r="B155" i="3"/>
  <c r="B143" i="3"/>
  <c r="B131" i="3"/>
  <c r="B119" i="3"/>
  <c r="B107" i="3"/>
  <c r="B95" i="3"/>
  <c r="B83" i="3"/>
  <c r="B71" i="3"/>
  <c r="B59" i="3"/>
  <c r="B47" i="3"/>
  <c r="B35" i="3"/>
  <c r="B23" i="3"/>
  <c r="B11" i="3"/>
  <c r="N33" i="2"/>
  <c r="M33" i="2"/>
  <c r="L33" i="2"/>
  <c r="K33" i="2"/>
  <c r="J33" i="2"/>
  <c r="I33" i="2"/>
  <c r="H33" i="2"/>
  <c r="G33" i="2"/>
  <c r="F33" i="2"/>
  <c r="E33" i="2"/>
  <c r="D33" i="2"/>
  <c r="C33" i="2"/>
  <c r="C44" i="2" s="1"/>
  <c r="B33" i="2"/>
  <c r="O33" i="2" s="1"/>
  <c r="N12" i="2"/>
  <c r="M12" i="2"/>
  <c r="L12" i="2"/>
  <c r="K12" i="2"/>
  <c r="J12" i="2"/>
  <c r="I12" i="2"/>
  <c r="H12" i="2"/>
  <c r="G12" i="2"/>
  <c r="F12" i="2"/>
  <c r="F23" i="2" s="1"/>
  <c r="E12" i="2"/>
  <c r="D12" i="2"/>
  <c r="D23" i="2" s="1"/>
  <c r="C12" i="2"/>
  <c r="B12" i="2"/>
  <c r="A33" i="2"/>
  <c r="A12" i="2"/>
  <c r="F70" i="1"/>
  <c r="J70" i="1" s="1"/>
  <c r="F69" i="1"/>
  <c r="J94" i="1"/>
  <c r="M155" i="1"/>
  <c r="J155" i="1"/>
  <c r="I155" i="1"/>
  <c r="E155" i="1"/>
  <c r="G155" i="1"/>
  <c r="H155" i="1" s="1"/>
  <c r="F155" i="1"/>
  <c r="M143" i="1"/>
  <c r="I143" i="1"/>
  <c r="H143" i="1"/>
  <c r="E143" i="1"/>
  <c r="G143" i="1"/>
  <c r="J143" i="1"/>
  <c r="M131" i="1"/>
  <c r="J131" i="1"/>
  <c r="I131" i="1"/>
  <c r="H131" i="1"/>
  <c r="E131" i="1"/>
  <c r="G131" i="1"/>
  <c r="F131" i="1"/>
  <c r="M119" i="1"/>
  <c r="I119" i="1"/>
  <c r="E119" i="1"/>
  <c r="G119" i="1"/>
  <c r="M107" i="1"/>
  <c r="J107" i="1"/>
  <c r="I107" i="1"/>
  <c r="E107" i="1"/>
  <c r="G107" i="1"/>
  <c r="H107" i="1" s="1"/>
  <c r="F107" i="1"/>
  <c r="M95" i="1"/>
  <c r="I95" i="1"/>
  <c r="H95" i="1"/>
  <c r="E95" i="1"/>
  <c r="G95" i="1"/>
  <c r="J95" i="1"/>
  <c r="M83" i="1"/>
  <c r="J83" i="1"/>
  <c r="I83" i="1"/>
  <c r="H83" i="1"/>
  <c r="E83" i="1"/>
  <c r="G83" i="1"/>
  <c r="F83" i="1"/>
  <c r="M71" i="1"/>
  <c r="I71" i="1"/>
  <c r="E71" i="1"/>
  <c r="G71" i="1"/>
  <c r="J71" i="1"/>
  <c r="M59" i="1"/>
  <c r="J59" i="1"/>
  <c r="I59" i="1"/>
  <c r="H59" i="1"/>
  <c r="E59" i="1"/>
  <c r="G59" i="1"/>
  <c r="F59" i="1"/>
  <c r="M47" i="1"/>
  <c r="I47" i="1"/>
  <c r="E47" i="1"/>
  <c r="G47" i="1"/>
  <c r="F47" i="1"/>
  <c r="J47" i="1" s="1"/>
  <c r="M35" i="1"/>
  <c r="J35" i="1"/>
  <c r="I35" i="1"/>
  <c r="E35" i="1"/>
  <c r="G35" i="1"/>
  <c r="F35" i="1"/>
  <c r="H35" i="1" s="1"/>
  <c r="M23" i="1"/>
  <c r="I23" i="1"/>
  <c r="E23" i="1"/>
  <c r="G23" i="1"/>
  <c r="F23" i="1"/>
  <c r="J23" i="1" s="1"/>
  <c r="M11" i="1"/>
  <c r="I11" i="1"/>
  <c r="E11" i="1"/>
  <c r="G11" i="1"/>
  <c r="F11" i="1"/>
  <c r="J11" i="1" s="1"/>
  <c r="B155" i="1"/>
  <c r="B143" i="1"/>
  <c r="B131" i="1"/>
  <c r="B119" i="1"/>
  <c r="B107" i="1"/>
  <c r="B95" i="1"/>
  <c r="B83" i="1"/>
  <c r="B71" i="1"/>
  <c r="B59" i="1"/>
  <c r="B47" i="1"/>
  <c r="B35" i="1"/>
  <c r="B23" i="1"/>
  <c r="B11" i="1"/>
  <c r="G168" i="4"/>
  <c r="H168" i="4"/>
  <c r="G155" i="4"/>
  <c r="H155" i="4"/>
  <c r="F155" i="4"/>
  <c r="G143" i="4"/>
  <c r="H143" i="4"/>
  <c r="F143" i="4"/>
  <c r="G131" i="4"/>
  <c r="H131" i="4" s="1"/>
  <c r="F131" i="4"/>
  <c r="G119" i="4"/>
  <c r="H119" i="4"/>
  <c r="F119" i="4"/>
  <c r="G107" i="4"/>
  <c r="H107" i="4"/>
  <c r="F107" i="4"/>
  <c r="G95" i="4"/>
  <c r="H95" i="4"/>
  <c r="F95" i="4"/>
  <c r="G83" i="4"/>
  <c r="H83" i="4" s="1"/>
  <c r="F83" i="4"/>
  <c r="G71" i="4"/>
  <c r="H71" i="4"/>
  <c r="F71" i="4"/>
  <c r="G59" i="4"/>
  <c r="H59" i="4"/>
  <c r="F59" i="4"/>
  <c r="G47" i="4"/>
  <c r="H47" i="4"/>
  <c r="F47" i="4"/>
  <c r="G35" i="4"/>
  <c r="H35" i="4" s="1"/>
  <c r="F35" i="4"/>
  <c r="G23" i="4"/>
  <c r="H23" i="4"/>
  <c r="F23" i="4"/>
  <c r="G11" i="4"/>
  <c r="H11" i="4"/>
  <c r="F11" i="4"/>
  <c r="B155" i="4"/>
  <c r="B143" i="4"/>
  <c r="B131" i="4"/>
  <c r="B119" i="4"/>
  <c r="B107" i="4"/>
  <c r="B95" i="4"/>
  <c r="B83" i="4"/>
  <c r="B71" i="4"/>
  <c r="B59" i="4"/>
  <c r="B47" i="4"/>
  <c r="B35" i="4"/>
  <c r="B23" i="4"/>
  <c r="B11" i="4"/>
  <c r="G154" i="3"/>
  <c r="F154" i="3"/>
  <c r="G142" i="3"/>
  <c r="F142" i="3"/>
  <c r="G130" i="3"/>
  <c r="F130" i="3"/>
  <c r="G118" i="3"/>
  <c r="F118" i="3"/>
  <c r="G106" i="3"/>
  <c r="F106" i="3"/>
  <c r="G94" i="3"/>
  <c r="F94" i="3"/>
  <c r="G82" i="3"/>
  <c r="F82" i="3"/>
  <c r="G70" i="3"/>
  <c r="F70" i="3"/>
  <c r="G58" i="3"/>
  <c r="F58" i="3"/>
  <c r="G46" i="3"/>
  <c r="F46" i="3"/>
  <c r="G34" i="3"/>
  <c r="F34" i="3"/>
  <c r="G22" i="3"/>
  <c r="F22" i="3"/>
  <c r="G10" i="3"/>
  <c r="F10" i="3"/>
  <c r="B154" i="3"/>
  <c r="B142" i="3"/>
  <c r="B130" i="3"/>
  <c r="B118" i="3"/>
  <c r="B106" i="3"/>
  <c r="B94" i="3"/>
  <c r="B82" i="3"/>
  <c r="B70" i="3"/>
  <c r="B58" i="3"/>
  <c r="B46" i="3"/>
  <c r="B34" i="3"/>
  <c r="B22" i="3"/>
  <c r="B10" i="3"/>
  <c r="N32" i="2"/>
  <c r="M32" i="2"/>
  <c r="L32" i="2"/>
  <c r="K32" i="2"/>
  <c r="J32" i="2"/>
  <c r="J44" i="2" s="1"/>
  <c r="I32" i="2"/>
  <c r="H32" i="2"/>
  <c r="H44" i="2" s="1"/>
  <c r="G32" i="2"/>
  <c r="F32" i="2"/>
  <c r="E32" i="2"/>
  <c r="D32" i="2"/>
  <c r="C32" i="2"/>
  <c r="B32" i="2"/>
  <c r="O32" i="2" s="1"/>
  <c r="N11" i="2"/>
  <c r="M11" i="2"/>
  <c r="L11" i="2"/>
  <c r="K11" i="2"/>
  <c r="J11" i="2"/>
  <c r="I11" i="2"/>
  <c r="O11" i="2" s="1"/>
  <c r="H11" i="2"/>
  <c r="G11" i="2"/>
  <c r="F11" i="2"/>
  <c r="E11" i="2"/>
  <c r="E23" i="2" s="1"/>
  <c r="D11" i="2"/>
  <c r="C11" i="2"/>
  <c r="B11" i="2"/>
  <c r="A32" i="2"/>
  <c r="A11" i="2"/>
  <c r="M154" i="1"/>
  <c r="J154" i="1"/>
  <c r="I154" i="1"/>
  <c r="E154" i="1"/>
  <c r="G154" i="1"/>
  <c r="F154" i="1"/>
  <c r="H154" i="1" s="1"/>
  <c r="M142" i="1"/>
  <c r="I142" i="1"/>
  <c r="E142" i="1"/>
  <c r="G142" i="1"/>
  <c r="F142" i="1"/>
  <c r="H142" i="1" s="1"/>
  <c r="M130" i="1"/>
  <c r="I130" i="1"/>
  <c r="E130" i="1"/>
  <c r="G130" i="1"/>
  <c r="F130" i="1"/>
  <c r="J130" i="1" s="1"/>
  <c r="M118" i="1"/>
  <c r="J118" i="1"/>
  <c r="I118" i="1"/>
  <c r="E118" i="1"/>
  <c r="G118" i="1"/>
  <c r="H118" i="1" s="1"/>
  <c r="M106" i="1"/>
  <c r="I106" i="1"/>
  <c r="E106" i="1"/>
  <c r="G106" i="1"/>
  <c r="H106" i="1" s="1"/>
  <c r="M94" i="1"/>
  <c r="I94" i="1"/>
  <c r="E94" i="1"/>
  <c r="G94" i="1"/>
  <c r="H94" i="1" s="1"/>
  <c r="M82" i="1"/>
  <c r="I82" i="1"/>
  <c r="E82" i="1"/>
  <c r="G82" i="1"/>
  <c r="G91" i="1" s="1"/>
  <c r="F82" i="1"/>
  <c r="J82" i="1" s="1"/>
  <c r="M70" i="1"/>
  <c r="I70" i="1"/>
  <c r="E70" i="1"/>
  <c r="G70" i="1"/>
  <c r="G79" i="1" s="1"/>
  <c r="H79" i="1" s="1"/>
  <c r="M58" i="1"/>
  <c r="I58" i="1"/>
  <c r="E58" i="1"/>
  <c r="G58" i="1"/>
  <c r="F58" i="1"/>
  <c r="J58" i="1" s="1"/>
  <c r="M46" i="1"/>
  <c r="I46" i="1"/>
  <c r="H46" i="1"/>
  <c r="E46" i="1"/>
  <c r="G46" i="1"/>
  <c r="F46" i="1"/>
  <c r="J46" i="1" s="1"/>
  <c r="M34" i="1"/>
  <c r="I34" i="1"/>
  <c r="H34" i="1"/>
  <c r="E34" i="1"/>
  <c r="G34" i="1"/>
  <c r="F34" i="1"/>
  <c r="J34" i="1" s="1"/>
  <c r="M22" i="1"/>
  <c r="J22" i="1"/>
  <c r="I22" i="1"/>
  <c r="H22" i="1"/>
  <c r="E22" i="1"/>
  <c r="G22" i="1"/>
  <c r="F22" i="1"/>
  <c r="M10" i="1"/>
  <c r="I10" i="1"/>
  <c r="E10" i="1"/>
  <c r="G10" i="1"/>
  <c r="G19" i="1" s="1"/>
  <c r="F10" i="1"/>
  <c r="F19" i="1" s="1"/>
  <c r="B154" i="1"/>
  <c r="B142" i="1"/>
  <c r="B130" i="1"/>
  <c r="B118" i="1"/>
  <c r="B106" i="1"/>
  <c r="B94" i="1"/>
  <c r="B82" i="1"/>
  <c r="B70" i="1"/>
  <c r="B58" i="1"/>
  <c r="B46" i="1"/>
  <c r="B34" i="1"/>
  <c r="B22" i="1"/>
  <c r="B10" i="1"/>
  <c r="B154" i="4"/>
  <c r="B142" i="4"/>
  <c r="B130" i="4"/>
  <c r="B118" i="4"/>
  <c r="B106" i="4"/>
  <c r="B94" i="4"/>
  <c r="B82" i="4"/>
  <c r="B70" i="4"/>
  <c r="B58" i="4"/>
  <c r="B46" i="4"/>
  <c r="B34" i="4"/>
  <c r="B22" i="4"/>
  <c r="B10" i="4"/>
  <c r="B153" i="3"/>
  <c r="B141" i="3"/>
  <c r="B129" i="3"/>
  <c r="B117" i="3"/>
  <c r="B105" i="3"/>
  <c r="B93" i="3"/>
  <c r="B81" i="3"/>
  <c r="B69" i="3"/>
  <c r="B57" i="3"/>
  <c r="B45" i="3"/>
  <c r="B33" i="3"/>
  <c r="B21" i="3"/>
  <c r="B9" i="3"/>
  <c r="A31" i="2"/>
  <c r="A10" i="2"/>
  <c r="G153" i="1"/>
  <c r="G141" i="1"/>
  <c r="G151" i="1" s="1"/>
  <c r="F141" i="1"/>
  <c r="J141" i="1" s="1"/>
  <c r="B141" i="1"/>
  <c r="G129" i="1"/>
  <c r="F129" i="1"/>
  <c r="J129" i="1" s="1"/>
  <c r="G117" i="1"/>
  <c r="G127" i="1" s="1"/>
  <c r="G105" i="1"/>
  <c r="F105" i="1"/>
  <c r="F115" i="1" s="1"/>
  <c r="G93" i="1"/>
  <c r="G103" i="1" s="1"/>
  <c r="G81" i="1"/>
  <c r="F81" i="1"/>
  <c r="G69" i="1"/>
  <c r="G57" i="1"/>
  <c r="G67" i="1" s="1"/>
  <c r="F57" i="1"/>
  <c r="F67" i="1" s="1"/>
  <c r="H67" i="1" s="1"/>
  <c r="G45" i="1"/>
  <c r="G55" i="1" s="1"/>
  <c r="F45" i="1"/>
  <c r="F55" i="1" s="1"/>
  <c r="G33" i="1"/>
  <c r="G43" i="1" s="1"/>
  <c r="J33" i="1"/>
  <c r="G21" i="1"/>
  <c r="G31" i="1" s="1"/>
  <c r="F21" i="1"/>
  <c r="G9" i="1"/>
  <c r="F9" i="1"/>
  <c r="H9" i="1" s="1"/>
  <c r="B153" i="1"/>
  <c r="B129" i="1"/>
  <c r="B117" i="1"/>
  <c r="B105" i="1"/>
  <c r="B93" i="1"/>
  <c r="B81" i="1"/>
  <c r="B69" i="1"/>
  <c r="B57" i="1"/>
  <c r="B45" i="1"/>
  <c r="B33" i="1"/>
  <c r="B21" i="1"/>
  <c r="B9" i="1"/>
  <c r="J81" i="1"/>
  <c r="J69" i="1"/>
  <c r="J57" i="1"/>
  <c r="J9" i="1"/>
  <c r="L55" i="1"/>
  <c r="F70" i="4"/>
  <c r="F69" i="3"/>
  <c r="M69" i="1"/>
  <c r="E69" i="1"/>
  <c r="F154" i="4"/>
  <c r="F153" i="3"/>
  <c r="G31" i="2"/>
  <c r="G10" i="2"/>
  <c r="G23" i="2" s="1"/>
  <c r="M153" i="1"/>
  <c r="E153" i="1"/>
  <c r="E80" i="4"/>
  <c r="D80" i="4"/>
  <c r="F80" i="4" s="1"/>
  <c r="C80" i="4"/>
  <c r="G70" i="4"/>
  <c r="H70" i="4"/>
  <c r="E79" i="3"/>
  <c r="D79" i="3"/>
  <c r="C79" i="3"/>
  <c r="G69" i="3"/>
  <c r="L79" i="1"/>
  <c r="M79" i="1" s="1"/>
  <c r="D79" i="1"/>
  <c r="E79" i="1"/>
  <c r="C79" i="1"/>
  <c r="I69" i="1"/>
  <c r="G154" i="4"/>
  <c r="H154" i="4" s="1"/>
  <c r="G153" i="3"/>
  <c r="I153" i="1"/>
  <c r="D19" i="1"/>
  <c r="D31" i="1"/>
  <c r="D43" i="1"/>
  <c r="D55" i="1"/>
  <c r="E55" i="1" s="1"/>
  <c r="D67" i="1"/>
  <c r="E67" i="1"/>
  <c r="D91" i="1"/>
  <c r="D103" i="1"/>
  <c r="D115" i="1"/>
  <c r="D127" i="1"/>
  <c r="D139" i="1"/>
  <c r="D151" i="1"/>
  <c r="E151" i="1"/>
  <c r="D163" i="1"/>
  <c r="D165" i="1" s="1"/>
  <c r="C163" i="1"/>
  <c r="C165" i="1" s="1"/>
  <c r="C164" i="4"/>
  <c r="C166" i="4" s="1"/>
  <c r="D164" i="4"/>
  <c r="C163" i="3"/>
  <c r="D163" i="3"/>
  <c r="G163" i="3" s="1"/>
  <c r="E20" i="4"/>
  <c r="E32" i="4"/>
  <c r="E44" i="4"/>
  <c r="E56" i="4"/>
  <c r="E68" i="4"/>
  <c r="E92" i="4"/>
  <c r="E166" i="4" s="1"/>
  <c r="E104" i="4"/>
  <c r="F104" i="4" s="1"/>
  <c r="E116" i="4"/>
  <c r="E128" i="4"/>
  <c r="E140" i="4"/>
  <c r="E152" i="4"/>
  <c r="E164" i="4"/>
  <c r="D20" i="4"/>
  <c r="D32" i="4"/>
  <c r="D44" i="4"/>
  <c r="G44" i="4" s="1"/>
  <c r="H44" i="4" s="1"/>
  <c r="D56" i="4"/>
  <c r="G56" i="4" s="1"/>
  <c r="H56" i="4" s="1"/>
  <c r="D68" i="4"/>
  <c r="D92" i="4"/>
  <c r="F92" i="4" s="1"/>
  <c r="D104" i="4"/>
  <c r="D116" i="4"/>
  <c r="G116" i="4" s="1"/>
  <c r="H116" i="4" s="1"/>
  <c r="D128" i="4"/>
  <c r="F128" i="4" s="1"/>
  <c r="D140" i="4"/>
  <c r="G140" i="4" s="1"/>
  <c r="H140" i="4" s="1"/>
  <c r="D152" i="4"/>
  <c r="F152" i="4"/>
  <c r="C20" i="4"/>
  <c r="G20" i="4" s="1"/>
  <c r="H20" i="4" s="1"/>
  <c r="C32" i="4"/>
  <c r="C44" i="4"/>
  <c r="C56" i="4"/>
  <c r="C68" i="4"/>
  <c r="C92" i="4"/>
  <c r="C104" i="4"/>
  <c r="G104" i="4" s="1"/>
  <c r="H104" i="4" s="1"/>
  <c r="C116" i="4"/>
  <c r="C128" i="4"/>
  <c r="G128" i="4" s="1"/>
  <c r="H128" i="4" s="1"/>
  <c r="C140" i="4"/>
  <c r="C152" i="4"/>
  <c r="G152" i="4" s="1"/>
  <c r="H152" i="4" s="1"/>
  <c r="F118" i="4"/>
  <c r="E19" i="3"/>
  <c r="E31" i="3"/>
  <c r="E43" i="3"/>
  <c r="E55" i="3"/>
  <c r="E67" i="3"/>
  <c r="F67" i="3" s="1"/>
  <c r="E91" i="3"/>
  <c r="E103" i="3"/>
  <c r="E115" i="3"/>
  <c r="F115" i="3" s="1"/>
  <c r="E127" i="3"/>
  <c r="E139" i="3"/>
  <c r="E151" i="3"/>
  <c r="E163" i="3"/>
  <c r="E165" i="3" s="1"/>
  <c r="D19" i="3"/>
  <c r="D31" i="3"/>
  <c r="F31" i="3" s="1"/>
  <c r="D43" i="3"/>
  <c r="F43" i="3" s="1"/>
  <c r="D55" i="3"/>
  <c r="F55" i="3" s="1"/>
  <c r="D67" i="3"/>
  <c r="D91" i="3"/>
  <c r="G91" i="3" s="1"/>
  <c r="D103" i="3"/>
  <c r="D115" i="3"/>
  <c r="G115" i="3" s="1"/>
  <c r="D127" i="3"/>
  <c r="D139" i="3"/>
  <c r="F139" i="3" s="1"/>
  <c r="D151" i="3"/>
  <c r="F151" i="3" s="1"/>
  <c r="C19" i="3"/>
  <c r="G19" i="3" s="1"/>
  <c r="C31" i="3"/>
  <c r="C43" i="3"/>
  <c r="C55" i="3"/>
  <c r="C67" i="3"/>
  <c r="C91" i="3"/>
  <c r="C103" i="3"/>
  <c r="G103" i="3" s="1"/>
  <c r="C115" i="3"/>
  <c r="C127" i="3"/>
  <c r="G127" i="3" s="1"/>
  <c r="C139" i="3"/>
  <c r="G139" i="3"/>
  <c r="C151" i="3"/>
  <c r="G151" i="3"/>
  <c r="F117" i="3"/>
  <c r="M117" i="1"/>
  <c r="E117" i="1"/>
  <c r="L19" i="1"/>
  <c r="L31" i="1"/>
  <c r="L43" i="1"/>
  <c r="L67" i="1"/>
  <c r="L91" i="1"/>
  <c r="L103" i="1"/>
  <c r="M103" i="1" s="1"/>
  <c r="L115" i="1"/>
  <c r="L127" i="1"/>
  <c r="L139" i="1"/>
  <c r="L151" i="1"/>
  <c r="K19" i="1"/>
  <c r="M19" i="1" s="1"/>
  <c r="K31" i="1"/>
  <c r="C31" i="1"/>
  <c r="E31" i="1" s="1"/>
  <c r="C43" i="1"/>
  <c r="E43" i="1" s="1"/>
  <c r="C55" i="1"/>
  <c r="C67" i="1"/>
  <c r="I67" i="1" s="1"/>
  <c r="C91" i="1"/>
  <c r="E91" i="1" s="1"/>
  <c r="C103" i="1"/>
  <c r="I103" i="1" s="1"/>
  <c r="C115" i="1"/>
  <c r="E115" i="1" s="1"/>
  <c r="C127" i="1"/>
  <c r="E127" i="1" s="1"/>
  <c r="C139" i="1"/>
  <c r="E139" i="1" s="1"/>
  <c r="C151" i="1"/>
  <c r="E129" i="1"/>
  <c r="I129" i="1"/>
  <c r="M129" i="1"/>
  <c r="K127" i="1"/>
  <c r="F142" i="4"/>
  <c r="K31" i="2"/>
  <c r="K44" i="2" s="1"/>
  <c r="K10" i="2"/>
  <c r="K23" i="2" s="1"/>
  <c r="K55" i="1"/>
  <c r="I55" i="1" s="1"/>
  <c r="K67" i="1"/>
  <c r="M67" i="1" s="1"/>
  <c r="K91" i="1"/>
  <c r="I91" i="1" s="1"/>
  <c r="K103" i="1"/>
  <c r="K115" i="1"/>
  <c r="J115" i="1" s="1"/>
  <c r="K151" i="1"/>
  <c r="K165" i="1" s="1"/>
  <c r="I117" i="1"/>
  <c r="G118" i="4"/>
  <c r="H118" i="4" s="1"/>
  <c r="G117" i="3"/>
  <c r="F94" i="4"/>
  <c r="F93" i="3"/>
  <c r="N31" i="2"/>
  <c r="N44" i="2" s="1"/>
  <c r="M31" i="2"/>
  <c r="M44" i="2" s="1"/>
  <c r="L31" i="2"/>
  <c r="J31" i="2"/>
  <c r="I31" i="2"/>
  <c r="H31" i="2"/>
  <c r="F31" i="2"/>
  <c r="E31" i="2"/>
  <c r="E44" i="2" s="1"/>
  <c r="C31" i="2"/>
  <c r="B31" i="2"/>
  <c r="O31" i="2" s="1"/>
  <c r="M93" i="1"/>
  <c r="E93" i="1"/>
  <c r="I10" i="2"/>
  <c r="I23" i="2" s="1"/>
  <c r="G94" i="4"/>
  <c r="H94" i="4" s="1"/>
  <c r="G106" i="4"/>
  <c r="H106" i="4" s="1"/>
  <c r="F106" i="4"/>
  <c r="G93" i="3"/>
  <c r="I93" i="1"/>
  <c r="F10" i="4"/>
  <c r="G10" i="4"/>
  <c r="H10" i="4"/>
  <c r="I9" i="1"/>
  <c r="I21" i="1"/>
  <c r="I45" i="1"/>
  <c r="I57" i="1"/>
  <c r="I81" i="1"/>
  <c r="I105" i="1"/>
  <c r="I141" i="1"/>
  <c r="E9" i="1"/>
  <c r="M9" i="1"/>
  <c r="E21" i="1"/>
  <c r="M21" i="1"/>
  <c r="E33" i="1"/>
  <c r="E45" i="1"/>
  <c r="M45" i="1"/>
  <c r="E57" i="1"/>
  <c r="M57" i="1"/>
  <c r="E81" i="1"/>
  <c r="M81" i="1"/>
  <c r="E105" i="1"/>
  <c r="M105" i="1"/>
  <c r="E141" i="1"/>
  <c r="M141" i="1"/>
  <c r="F22" i="4"/>
  <c r="G22" i="4"/>
  <c r="H22" i="4" s="1"/>
  <c r="F34" i="4"/>
  <c r="G34" i="4"/>
  <c r="H34" i="4" s="1"/>
  <c r="F46" i="4"/>
  <c r="G46" i="4"/>
  <c r="H46" i="4"/>
  <c r="F58" i="4"/>
  <c r="G58" i="4"/>
  <c r="H58" i="4" s="1"/>
  <c r="F82" i="4"/>
  <c r="G82" i="4"/>
  <c r="H82" i="4" s="1"/>
  <c r="F130" i="4"/>
  <c r="G130" i="4"/>
  <c r="H130" i="4" s="1"/>
  <c r="G142" i="4"/>
  <c r="H142" i="4" s="1"/>
  <c r="F9" i="3"/>
  <c r="F21" i="3"/>
  <c r="G21" i="3"/>
  <c r="F33" i="3"/>
  <c r="G33" i="3"/>
  <c r="F45" i="3"/>
  <c r="G45" i="3"/>
  <c r="F57" i="3"/>
  <c r="G57" i="3"/>
  <c r="F81" i="3"/>
  <c r="G81" i="3"/>
  <c r="F105" i="3"/>
  <c r="G105" i="3"/>
  <c r="F129" i="3"/>
  <c r="G129" i="3"/>
  <c r="F141" i="3"/>
  <c r="G141" i="3"/>
  <c r="G9" i="3"/>
  <c r="B10" i="2"/>
  <c r="C10" i="2"/>
  <c r="C23" i="2" s="1"/>
  <c r="D10" i="2"/>
  <c r="E10" i="2"/>
  <c r="F10" i="2"/>
  <c r="H10" i="2"/>
  <c r="J10" i="2"/>
  <c r="J23" i="2" s="1"/>
  <c r="L10" i="2"/>
  <c r="M10" i="2"/>
  <c r="M23" i="2" s="1"/>
  <c r="N10" i="2"/>
  <c r="I33" i="1"/>
  <c r="M33" i="1"/>
  <c r="K43" i="1"/>
  <c r="I43" i="1"/>
  <c r="D31" i="2"/>
  <c r="D44" i="2" s="1"/>
  <c r="L163" i="1"/>
  <c r="K163" i="1"/>
  <c r="K79" i="1"/>
  <c r="K139" i="1"/>
  <c r="F168" i="4"/>
  <c r="H57" i="1"/>
  <c r="H141" i="1"/>
  <c r="H81" i="1"/>
  <c r="H21" i="1"/>
  <c r="G163" i="1"/>
  <c r="H69" i="1"/>
  <c r="F79" i="1"/>
  <c r="J79" i="1" s="1"/>
  <c r="F163" i="1"/>
  <c r="J21" i="1"/>
  <c r="G139" i="1"/>
  <c r="F31" i="1"/>
  <c r="H31" i="1" s="1"/>
  <c r="F79" i="3"/>
  <c r="H71" i="1"/>
  <c r="F103" i="1"/>
  <c r="H103" i="1" s="1"/>
  <c r="J117" i="1"/>
  <c r="H72" i="1"/>
  <c r="H62" i="1"/>
  <c r="H119" i="1"/>
  <c r="I127" i="1"/>
  <c r="J13" i="1"/>
  <c r="B14" i="2"/>
  <c r="C19" i="1"/>
  <c r="E19" i="1" s="1"/>
  <c r="E13" i="1"/>
  <c r="I13" i="1"/>
  <c r="F164" i="4"/>
  <c r="G55" i="3"/>
  <c r="F127" i="3"/>
  <c r="H38" i="1"/>
  <c r="F140" i="4"/>
  <c r="F116" i="4"/>
  <c r="G68" i="4"/>
  <c r="H68" i="4" s="1"/>
  <c r="F103" i="3"/>
  <c r="H63" i="1"/>
  <c r="H74" i="1"/>
  <c r="F91" i="1"/>
  <c r="H96" i="1"/>
  <c r="M115" i="1"/>
  <c r="J106" i="1"/>
  <c r="J145" i="1"/>
  <c r="H147" i="1"/>
  <c r="I163" i="1"/>
  <c r="L165" i="1"/>
  <c r="I79" i="1"/>
  <c r="G80" i="4"/>
  <c r="H80" i="4" s="1"/>
  <c r="F68" i="4"/>
  <c r="F56" i="4"/>
  <c r="F32" i="4"/>
  <c r="G32" i="4"/>
  <c r="H32" i="4" s="1"/>
  <c r="F20" i="4"/>
  <c r="D166" i="4"/>
  <c r="F166" i="4" s="1"/>
  <c r="G79" i="3"/>
  <c r="G67" i="3"/>
  <c r="G43" i="3"/>
  <c r="C165" i="3"/>
  <c r="G31" i="3"/>
  <c r="F19" i="3"/>
  <c r="H37" i="1"/>
  <c r="E167" i="1"/>
  <c r="M163" i="1"/>
  <c r="I151" i="1"/>
  <c r="M127" i="1"/>
  <c r="I115" i="1"/>
  <c r="M43" i="1"/>
  <c r="M31" i="1"/>
  <c r="I31" i="1"/>
  <c r="O12" i="2"/>
  <c r="N23" i="2"/>
  <c r="I44" i="2"/>
  <c r="L23" i="2"/>
  <c r="H23" i="2"/>
  <c r="F44" i="2"/>
  <c r="B44" i="2"/>
  <c r="O16" i="2"/>
  <c r="O17" i="2"/>
  <c r="I165" i="1" l="1"/>
  <c r="M165" i="1"/>
  <c r="E165" i="1"/>
  <c r="H91" i="1"/>
  <c r="J139" i="1"/>
  <c r="O44" i="2"/>
  <c r="H19" i="1"/>
  <c r="H55" i="1"/>
  <c r="F165" i="1"/>
  <c r="J127" i="1"/>
  <c r="H127" i="1"/>
  <c r="F167" i="1"/>
  <c r="H167" i="1" s="1"/>
  <c r="G166" i="4"/>
  <c r="H166" i="4" s="1"/>
  <c r="E163" i="1"/>
  <c r="H70" i="1"/>
  <c r="J105" i="1"/>
  <c r="M151" i="1"/>
  <c r="J25" i="1"/>
  <c r="J49" i="1"/>
  <c r="J75" i="1"/>
  <c r="H100" i="1"/>
  <c r="H86" i="1"/>
  <c r="J29" i="1"/>
  <c r="J91" i="1"/>
  <c r="F167" i="3"/>
  <c r="B23" i="2"/>
  <c r="E103" i="1"/>
  <c r="G92" i="4"/>
  <c r="H92" i="4" s="1"/>
  <c r="J163" i="1"/>
  <c r="J167" i="1"/>
  <c r="H33" i="1"/>
  <c r="J45" i="1"/>
  <c r="H129" i="1"/>
  <c r="J132" i="1"/>
  <c r="J134" i="1"/>
  <c r="J15" i="1"/>
  <c r="J123" i="1"/>
  <c r="J88" i="1"/>
  <c r="J137" i="1"/>
  <c r="H23" i="1"/>
  <c r="M91" i="1"/>
  <c r="J19" i="1"/>
  <c r="G115" i="1"/>
  <c r="G165" i="1" s="1"/>
  <c r="H45" i="1"/>
  <c r="H105" i="1"/>
  <c r="M139" i="1"/>
  <c r="F44" i="4"/>
  <c r="H10" i="1"/>
  <c r="J142" i="1"/>
  <c r="H47" i="1"/>
  <c r="J24" i="1"/>
  <c r="J14" i="1"/>
  <c r="J28" i="1"/>
  <c r="J112" i="1"/>
  <c r="J77" i="1"/>
  <c r="O10" i="2"/>
  <c r="O23" i="2" s="1"/>
  <c r="D165" i="3"/>
  <c r="I167" i="1"/>
  <c r="J55" i="1"/>
  <c r="F139" i="1"/>
  <c r="H139" i="1" s="1"/>
  <c r="H163" i="1"/>
  <c r="F163" i="3"/>
  <c r="G164" i="4"/>
  <c r="H164" i="4" s="1"/>
  <c r="J10" i="1"/>
  <c r="H123" i="1"/>
  <c r="J67" i="1"/>
  <c r="I139" i="1"/>
  <c r="M55" i="1"/>
  <c r="J93" i="1"/>
  <c r="H153" i="1"/>
  <c r="H130" i="1"/>
  <c r="H11" i="1"/>
  <c r="J61" i="1"/>
  <c r="J87" i="1"/>
  <c r="J103" i="1"/>
  <c r="F43" i="1"/>
  <c r="H43" i="1" s="1"/>
  <c r="H58" i="1"/>
  <c r="H82" i="1"/>
  <c r="H122" i="1"/>
  <c r="H117" i="1"/>
  <c r="J31" i="1"/>
  <c r="H151" i="1"/>
  <c r="F91" i="3"/>
  <c r="I19" i="1"/>
  <c r="H165" i="1" l="1"/>
  <c r="H115" i="1"/>
  <c r="J43" i="1"/>
  <c r="J165" i="1"/>
  <c r="G165" i="3"/>
  <c r="F165" i="3"/>
</calcChain>
</file>

<file path=xl/sharedStrings.xml><?xml version="1.0" encoding="utf-8"?>
<sst xmlns="http://schemas.openxmlformats.org/spreadsheetml/2006/main" count="192" uniqueCount="75">
  <si>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</si>
  <si>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</si>
  <si>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</si>
  <si>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</si>
  <si>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</si>
  <si>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</si>
  <si>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</si>
  <si>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</si>
  <si>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</si>
  <si>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</si>
  <si>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</si>
  <si>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</si>
  <si>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</si>
  <si>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</si>
  <si>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</si>
  <si>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</si>
  <si>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>HARRAHS NKC</t>
  </si>
  <si>
    <t>ISLE OF CAPRI - KC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</si>
  <si>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</si>
  <si>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</si>
  <si>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</si>
  <si>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</si>
  <si>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</si>
  <si>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</si>
  <si>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</si>
  <si>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</si>
  <si>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</si>
  <si>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</si>
  <si>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</si>
  <si>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</si>
  <si>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</si>
  <si>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</si>
  <si>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</si>
  <si>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</si>
  <si>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</si>
  <si>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</si>
  <si>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</si>
  <si>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</si>
  <si>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</si>
  <si>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>HARRAHS NORTH KC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</si>
  <si>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</si>
  <si>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</si>
  <si>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</si>
  <si>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</si>
  <si>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</si>
  <si>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</si>
  <si>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</si>
  <si>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</si>
  <si>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</si>
  <si>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</si>
  <si>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</si>
  <si>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</si>
  <si>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</si>
  <si>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</si>
  <si>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</si>
  <si>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LUMIERE PLACE</t>
  </si>
  <si>
    <t>IOC - LADY LUCK</t>
  </si>
  <si>
    <t>RIVER CITY</t>
  </si>
  <si>
    <t xml:space="preserve">RIVER CITY </t>
  </si>
  <si>
    <t xml:space="preserve">MARK TWAIN </t>
  </si>
  <si>
    <t xml:space="preserve">IOC - LADY LUCK </t>
  </si>
  <si>
    <t>IOC - CAPE GIRARDEAU</t>
  </si>
  <si>
    <t>HOLLYWOOD</t>
  </si>
  <si>
    <t>ST. JO FRONTIER</t>
  </si>
  <si>
    <t xml:space="preserve">ST. JO FRONTIER </t>
  </si>
  <si>
    <t xml:space="preserve">HOLLYWOOD </t>
  </si>
  <si>
    <t xml:space="preserve">IOC - CAPE GIRARDEAU </t>
  </si>
  <si>
    <t xml:space="preserve">LUMIERE PLACE </t>
  </si>
  <si>
    <t xml:space="preserve">FISCAL 2020 YTD ADMISSIONS, PATRONS AND AGR SUMMARY </t>
  </si>
  <si>
    <t>MONTH ENDED:   MARCH 31, 2020</t>
  </si>
  <si>
    <t>(as reported on the tax remittal database dtd 4/9/20)</t>
  </si>
  <si>
    <t>FOR THE MONTH ENDED:   MARCH 31, 2020</t>
  </si>
  <si>
    <t>THRU MONTH ENDED:   MARCH 31, 2020</t>
  </si>
  <si>
    <t>(as reported on the tax remittal database as of 4/9/20)</t>
  </si>
  <si>
    <t>THRU MONTH ENDED:     MARCH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</si>
</sst>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5" x14ac:knownFonts="1">
    <font>
      <sz val="12"/>
      <name val="Arial"/>
    </font>
    <font>
      <b/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b/>
      <i/>
      <u/>
      <sz val="14"/>
      <name val="Arial"/>
      <family val="2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85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3" fillId="0" borderId="0" xfId="2" applyNumberFormat="1" applyFont="1" applyAlignment="1"/>
    <xf numFmtId="0" fontId="13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4" fillId="0" borderId="0" xfId="3" applyNumberFormat="1" applyFont="1" applyBorder="1" applyAlignment="1">
      <alignment horizontal="left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39"/>
  <sheetViews>
    <sheetView tabSelected="1" showOutlineSymbols="0" zoomScaleNormal="100" workbookViewId="0">
      <selection activeCell="R7" sqref="R7"/>
    </sheetView>
  </sheetViews>
  <sheetFormatPr defaultColWidth="9.6640625" defaultRowHeight="15" x14ac:dyDescent="0.2"/>
  <cols>
    <col min="1" max="1" width="22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68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1" t="s">
        <v>69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7" t="s">
        <v>70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DATE(2019,7,1)</f>
        <v>43647</v>
      </c>
      <c r="C9" s="21">
        <v>273819</v>
      </c>
      <c r="D9" s="22">
        <v>261456</v>
      </c>
      <c r="E9" s="23">
        <f t="shared" ref="E9:E17" si="0">(+C9-D9)/D9</f>
        <v>4.7285202863961817E-2</v>
      </c>
      <c r="F9" s="21">
        <f>+C9-121652</f>
        <v>152167</v>
      </c>
      <c r="G9" s="21">
        <f>+D9-122888</f>
        <v>138568</v>
      </c>
      <c r="H9" s="23">
        <f t="shared" ref="H9:H17" si="1">(+F9-G9)/G9</f>
        <v>9.8139541596905494E-2</v>
      </c>
      <c r="I9" s="24">
        <f t="shared" ref="I9:I17" si="2">K9/C9</f>
        <v>53.293904623126956</v>
      </c>
      <c r="J9" s="24">
        <f t="shared" ref="J9:J17" si="3">K9/F9</f>
        <v>95.9004493089829</v>
      </c>
      <c r="K9" s="21">
        <v>14592883.67</v>
      </c>
      <c r="L9" s="21">
        <v>13375050.09</v>
      </c>
      <c r="M9" s="25">
        <f t="shared" ref="M9:M17" si="4">(+K9-L9)/L9</f>
        <v>9.1052636947545076E-2</v>
      </c>
      <c r="N9" s="10"/>
      <c r="R9" s="2"/>
    </row>
    <row r="10" spans="1:18" ht="15.75" x14ac:dyDescent="0.25">
      <c r="A10" s="19"/>
      <c r="B10" s="20">
        <f>DATE(2019,8,1)</f>
        <v>43678</v>
      </c>
      <c r="C10" s="21">
        <v>276880</v>
      </c>
      <c r="D10" s="22">
        <v>266367</v>
      </c>
      <c r="E10" s="23">
        <f t="shared" si="0"/>
        <v>3.9468102279937078E-2</v>
      </c>
      <c r="F10" s="21">
        <f>+C10-123357</f>
        <v>153523</v>
      </c>
      <c r="G10" s="21">
        <f>+D10-122166</f>
        <v>144201</v>
      </c>
      <c r="H10" s="23">
        <f t="shared" si="1"/>
        <v>6.4645876242189718E-2</v>
      </c>
      <c r="I10" s="24">
        <f t="shared" si="2"/>
        <v>52.376661297312914</v>
      </c>
      <c r="J10" s="24">
        <f t="shared" si="3"/>
        <v>94.461741758563861</v>
      </c>
      <c r="K10" s="21">
        <v>14502049.98</v>
      </c>
      <c r="L10" s="21">
        <v>13957901.84</v>
      </c>
      <c r="M10" s="25">
        <f t="shared" si="4"/>
        <v>3.898495248337415E-2</v>
      </c>
      <c r="N10" s="10"/>
      <c r="R10" s="2"/>
    </row>
    <row r="11" spans="1:18" ht="15.75" x14ac:dyDescent="0.25">
      <c r="A11" s="19"/>
      <c r="B11" s="20">
        <f>DATE(2019,9,1)</f>
        <v>43709</v>
      </c>
      <c r="C11" s="21">
        <v>254028</v>
      </c>
      <c r="D11" s="22">
        <v>263613</v>
      </c>
      <c r="E11" s="23">
        <f t="shared" si="0"/>
        <v>-3.6360118810529071E-2</v>
      </c>
      <c r="F11" s="21">
        <f>+C11-112781</f>
        <v>141247</v>
      </c>
      <c r="G11" s="21">
        <f>+D11-122145</f>
        <v>141468</v>
      </c>
      <c r="H11" s="23">
        <f t="shared" si="1"/>
        <v>-1.56219074278282E-3</v>
      </c>
      <c r="I11" s="24">
        <f t="shared" si="2"/>
        <v>50.285363739430302</v>
      </c>
      <c r="J11" s="24">
        <f t="shared" si="3"/>
        <v>90.43654293542518</v>
      </c>
      <c r="K11" s="21">
        <v>12773890.380000001</v>
      </c>
      <c r="L11" s="21">
        <v>13536102.300000001</v>
      </c>
      <c r="M11" s="25">
        <f t="shared" si="4"/>
        <v>-5.6309556703039977E-2</v>
      </c>
      <c r="N11" s="10"/>
      <c r="R11" s="2"/>
    </row>
    <row r="12" spans="1:18" ht="15.75" x14ac:dyDescent="0.25">
      <c r="A12" s="19"/>
      <c r="B12" s="20">
        <f>DATE(2019,10,1)</f>
        <v>43739</v>
      </c>
      <c r="C12" s="21">
        <v>250952</v>
      </c>
      <c r="D12" s="22">
        <v>264243</v>
      </c>
      <c r="E12" s="23">
        <f t="shared" si="0"/>
        <v>-5.0298399579175229E-2</v>
      </c>
      <c r="F12" s="21">
        <f>+C12-113545</f>
        <v>137407</v>
      </c>
      <c r="G12" s="21">
        <f>+D12-121413</f>
        <v>142830</v>
      </c>
      <c r="H12" s="23">
        <f t="shared" si="1"/>
        <v>-3.7968213960652523E-2</v>
      </c>
      <c r="I12" s="24">
        <f t="shared" si="2"/>
        <v>53.295277224329752</v>
      </c>
      <c r="J12" s="24">
        <f t="shared" si="3"/>
        <v>97.335335244929297</v>
      </c>
      <c r="K12" s="21">
        <v>13374556.41</v>
      </c>
      <c r="L12" s="21">
        <v>13965262.380000001</v>
      </c>
      <c r="M12" s="25">
        <f t="shared" si="4"/>
        <v>-4.2298236433134642E-2</v>
      </c>
      <c r="N12" s="10"/>
      <c r="R12" s="2"/>
    </row>
    <row r="13" spans="1:18" ht="15.75" x14ac:dyDescent="0.25">
      <c r="A13" s="19"/>
      <c r="B13" s="20">
        <f>DATE(2019,11,1)</f>
        <v>43770</v>
      </c>
      <c r="C13" s="21">
        <v>272418</v>
      </c>
      <c r="D13" s="22">
        <v>252868</v>
      </c>
      <c r="E13" s="23">
        <f t="shared" si="0"/>
        <v>7.7313064523783157E-2</v>
      </c>
      <c r="F13" s="21">
        <f>+C13-124199</f>
        <v>148219</v>
      </c>
      <c r="G13" s="21">
        <f>+D13-117772</f>
        <v>135096</v>
      </c>
      <c r="H13" s="23">
        <f t="shared" si="1"/>
        <v>9.713833126073311E-2</v>
      </c>
      <c r="I13" s="24">
        <f t="shared" si="2"/>
        <v>51.274348648033538</v>
      </c>
      <c r="J13" s="24">
        <f t="shared" si="3"/>
        <v>94.239304745005697</v>
      </c>
      <c r="K13" s="21">
        <v>13968055.51</v>
      </c>
      <c r="L13" s="21">
        <v>13690400.939999999</v>
      </c>
      <c r="M13" s="25">
        <f t="shared" si="4"/>
        <v>2.0280967023307669E-2</v>
      </c>
      <c r="N13" s="10"/>
      <c r="R13" s="2"/>
    </row>
    <row r="14" spans="1:18" ht="15.75" x14ac:dyDescent="0.25">
      <c r="A14" s="19"/>
      <c r="B14" s="20">
        <f>DATE(2019,12,1)</f>
        <v>43800</v>
      </c>
      <c r="C14" s="21">
        <v>282345</v>
      </c>
      <c r="D14" s="22">
        <v>287683</v>
      </c>
      <c r="E14" s="23">
        <f t="shared" si="0"/>
        <v>-1.8555145768085011E-2</v>
      </c>
      <c r="F14" s="21">
        <f>+C14-128827</f>
        <v>153518</v>
      </c>
      <c r="G14" s="21">
        <f>+D14-136878</f>
        <v>150805</v>
      </c>
      <c r="H14" s="23">
        <f t="shared" si="1"/>
        <v>1.7990119690991679E-2</v>
      </c>
      <c r="I14" s="24">
        <f t="shared" si="2"/>
        <v>51.87481588128</v>
      </c>
      <c r="J14" s="24">
        <f t="shared" si="3"/>
        <v>95.406368569158019</v>
      </c>
      <c r="K14" s="21">
        <v>14646594.890000001</v>
      </c>
      <c r="L14" s="21">
        <v>15302336.49</v>
      </c>
      <c r="M14" s="25">
        <f t="shared" si="4"/>
        <v>-4.2852384041386325E-2</v>
      </c>
      <c r="N14" s="10"/>
      <c r="R14" s="2"/>
    </row>
    <row r="15" spans="1:18" ht="15.75" x14ac:dyDescent="0.25">
      <c r="A15" s="19"/>
      <c r="B15" s="20">
        <f>DATE(2020,1,1)</f>
        <v>43831</v>
      </c>
      <c r="C15" s="21">
        <v>244941</v>
      </c>
      <c r="D15" s="22">
        <v>239286</v>
      </c>
      <c r="E15" s="23">
        <f t="shared" si="0"/>
        <v>2.3632807602617788E-2</v>
      </c>
      <c r="F15" s="21">
        <f>+C15-113581</f>
        <v>131360</v>
      </c>
      <c r="G15" s="21">
        <f>+D15-112115</f>
        <v>127171</v>
      </c>
      <c r="H15" s="23">
        <f t="shared" si="1"/>
        <v>3.2939899819927503E-2</v>
      </c>
      <c r="I15" s="24">
        <f t="shared" si="2"/>
        <v>51.153704483936949</v>
      </c>
      <c r="J15" s="24">
        <f t="shared" si="3"/>
        <v>95.383979369671124</v>
      </c>
      <c r="K15" s="21">
        <v>12529639.529999999</v>
      </c>
      <c r="L15" s="21">
        <v>12487856.060000001</v>
      </c>
      <c r="M15" s="25">
        <f t="shared" si="4"/>
        <v>3.3459282201238638E-3</v>
      </c>
      <c r="N15" s="10"/>
      <c r="R15" s="2"/>
    </row>
    <row r="16" spans="1:18" ht="15.75" x14ac:dyDescent="0.25">
      <c r="A16" s="19"/>
      <c r="B16" s="20">
        <f>DATE(2020,2,1)</f>
        <v>43862</v>
      </c>
      <c r="C16" s="21">
        <v>260941</v>
      </c>
      <c r="D16" s="22">
        <v>236408</v>
      </c>
      <c r="E16" s="23">
        <f t="shared" si="0"/>
        <v>0.10377398395993367</v>
      </c>
      <c r="F16" s="21">
        <f>+C16-121501</f>
        <v>139440</v>
      </c>
      <c r="G16" s="21">
        <f>+D16-111522</f>
        <v>124886</v>
      </c>
      <c r="H16" s="23">
        <f t="shared" si="1"/>
        <v>0.11653828291401759</v>
      </c>
      <c r="I16" s="24">
        <f t="shared" si="2"/>
        <v>52.944141587561937</v>
      </c>
      <c r="J16" s="24">
        <f t="shared" si="3"/>
        <v>99.077002653471027</v>
      </c>
      <c r="K16" s="21">
        <v>13815297.25</v>
      </c>
      <c r="L16" s="21">
        <v>12495205.26</v>
      </c>
      <c r="M16" s="25">
        <f t="shared" si="4"/>
        <v>0.1056478835306464</v>
      </c>
      <c r="N16" s="10"/>
      <c r="R16" s="2"/>
    </row>
    <row r="17" spans="1:18" ht="15.75" x14ac:dyDescent="0.25">
      <c r="A17" s="19"/>
      <c r="B17" s="20">
        <f>DATE(2020,3,1)</f>
        <v>43891</v>
      </c>
      <c r="C17" s="21">
        <v>133788</v>
      </c>
      <c r="D17" s="22">
        <v>291988</v>
      </c>
      <c r="E17" s="23">
        <f t="shared" si="0"/>
        <v>-0.54180308779812869</v>
      </c>
      <c r="F17" s="21">
        <f>+C17-60707</f>
        <v>73081</v>
      </c>
      <c r="G17" s="21">
        <f>+D17-138132</f>
        <v>153856</v>
      </c>
      <c r="H17" s="23">
        <f t="shared" si="1"/>
        <v>-0.52500389975041595</v>
      </c>
      <c r="I17" s="24">
        <f t="shared" si="2"/>
        <v>52.659615660597368</v>
      </c>
      <c r="J17" s="24">
        <f t="shared" si="3"/>
        <v>96.402959182277201</v>
      </c>
      <c r="K17" s="21">
        <v>7045224.6600000001</v>
      </c>
      <c r="L17" s="21">
        <v>15464457.73</v>
      </c>
      <c r="M17" s="25">
        <f t="shared" si="4"/>
        <v>-0.54442472002540754</v>
      </c>
      <c r="N17" s="10"/>
      <c r="R17" s="2"/>
    </row>
    <row r="18" spans="1:18" ht="15.75" customHeight="1" thickBot="1" x14ac:dyDescent="0.3">
      <c r="A18" s="19"/>
      <c r="B18" s="20"/>
      <c r="C18" s="21"/>
      <c r="D18" s="21"/>
      <c r="E18" s="23"/>
      <c r="F18" s="21"/>
      <c r="G18" s="21"/>
      <c r="H18" s="23"/>
      <c r="I18" s="24"/>
      <c r="J18" s="24"/>
      <c r="K18" s="21"/>
      <c r="L18" s="21"/>
      <c r="M18" s="25"/>
      <c r="N18" s="10"/>
      <c r="R18" s="2"/>
    </row>
    <row r="19" spans="1:18" ht="17.25" thickTop="1" thickBot="1" x14ac:dyDescent="0.3">
      <c r="A19" s="26" t="s">
        <v>14</v>
      </c>
      <c r="B19" s="27"/>
      <c r="C19" s="28">
        <f>SUM(C9:C18)</f>
        <v>2250112</v>
      </c>
      <c r="D19" s="28">
        <f>SUM(D9:D18)</f>
        <v>2363912</v>
      </c>
      <c r="E19" s="278">
        <f>(+C19-D19)/D19</f>
        <v>-4.8140539918575649E-2</v>
      </c>
      <c r="F19" s="28">
        <f>SUM(F9:F18)</f>
        <v>1229962</v>
      </c>
      <c r="G19" s="28">
        <f>SUM(G9:G18)</f>
        <v>1258881</v>
      </c>
      <c r="H19" s="30">
        <f>(+F19-G19)/G19</f>
        <v>-2.2971988615286116E-2</v>
      </c>
      <c r="I19" s="31">
        <f>K19/C19</f>
        <v>52.107713873798282</v>
      </c>
      <c r="J19" s="31">
        <f>K19/F19</f>
        <v>95.326678612835195</v>
      </c>
      <c r="K19" s="28">
        <f>SUM(K9:K18)</f>
        <v>117248192.28</v>
      </c>
      <c r="L19" s="28">
        <f>SUM(L9:L18)</f>
        <v>124274573.09000002</v>
      </c>
      <c r="M19" s="32">
        <f>(+K19-L19)/L19</f>
        <v>-5.6539166744201896E-2</v>
      </c>
      <c r="N19" s="10"/>
      <c r="R19" s="2"/>
    </row>
    <row r="20" spans="1:18" ht="15.75" customHeight="1" thickTop="1" x14ac:dyDescent="0.25">
      <c r="A20" s="15"/>
      <c r="B20" s="16"/>
      <c r="C20" s="16"/>
      <c r="D20" s="16"/>
      <c r="E20" s="17"/>
      <c r="F20" s="16"/>
      <c r="G20" s="16"/>
      <c r="H20" s="17"/>
      <c r="I20" s="16"/>
      <c r="J20" s="16"/>
      <c r="K20" s="195"/>
      <c r="L20" s="195"/>
      <c r="M20" s="18"/>
      <c r="N20" s="10"/>
      <c r="R20" s="2"/>
    </row>
    <row r="21" spans="1:18" ht="15.75" x14ac:dyDescent="0.25">
      <c r="A21" s="19" t="s">
        <v>15</v>
      </c>
      <c r="B21" s="20">
        <f>DATE(2019,7,1)</f>
        <v>43647</v>
      </c>
      <c r="C21" s="21">
        <v>128877</v>
      </c>
      <c r="D21" s="21">
        <v>142478</v>
      </c>
      <c r="E21" s="23">
        <f t="shared" ref="E21:E29" si="5">(+C21-D21)/D21</f>
        <v>-9.5460351773607149E-2</v>
      </c>
      <c r="F21" s="21">
        <f>+C21-61988</f>
        <v>66889</v>
      </c>
      <c r="G21" s="21">
        <f>+D21-67444</f>
        <v>75034</v>
      </c>
      <c r="H21" s="23">
        <f t="shared" ref="H21:H29" si="6">(+F21-G21)/G21</f>
        <v>-0.10855079030839353</v>
      </c>
      <c r="I21" s="24">
        <f t="shared" ref="I21:I29" si="7">K21/C21</f>
        <v>54.051311172668512</v>
      </c>
      <c r="J21" s="24">
        <f t="shared" ref="J21:J29" si="8">K21/F21</f>
        <v>104.14224805274409</v>
      </c>
      <c r="K21" s="21">
        <v>6965970.8300000001</v>
      </c>
      <c r="L21" s="21">
        <v>7374850.2599999998</v>
      </c>
      <c r="M21" s="25">
        <f t="shared" ref="M21:M29" si="9">(+K21-L21)/L21</f>
        <v>-5.544240433161008E-2</v>
      </c>
      <c r="N21" s="10"/>
      <c r="R21" s="2"/>
    </row>
    <row r="22" spans="1:18" ht="15.75" x14ac:dyDescent="0.25">
      <c r="A22" s="19"/>
      <c r="B22" s="20">
        <f>DATE(2019,8,1)</f>
        <v>43678</v>
      </c>
      <c r="C22" s="21">
        <v>130133</v>
      </c>
      <c r="D22" s="21">
        <v>137794</v>
      </c>
      <c r="E22" s="23">
        <f t="shared" si="5"/>
        <v>-5.5597486102442778E-2</v>
      </c>
      <c r="F22" s="21">
        <f>+C22-62200</f>
        <v>67933</v>
      </c>
      <c r="G22" s="21">
        <f>+D22-65911</f>
        <v>71883</v>
      </c>
      <c r="H22" s="23">
        <f t="shared" si="6"/>
        <v>-5.4950405520081243E-2</v>
      </c>
      <c r="I22" s="24">
        <f t="shared" si="7"/>
        <v>53.532999700306604</v>
      </c>
      <c r="J22" s="24">
        <f t="shared" si="8"/>
        <v>102.54824385791882</v>
      </c>
      <c r="K22" s="21">
        <v>6966409.8499999996</v>
      </c>
      <c r="L22" s="21">
        <v>7098601.2599999998</v>
      </c>
      <c r="M22" s="25">
        <f t="shared" si="9"/>
        <v>-1.862217712451145E-2</v>
      </c>
      <c r="N22" s="10"/>
      <c r="R22" s="2"/>
    </row>
    <row r="23" spans="1:18" ht="15.75" x14ac:dyDescent="0.25">
      <c r="A23" s="19"/>
      <c r="B23" s="20">
        <f>DATE(2019,9,1)</f>
        <v>43709</v>
      </c>
      <c r="C23" s="21">
        <v>118251</v>
      </c>
      <c r="D23" s="21">
        <v>137262</v>
      </c>
      <c r="E23" s="23">
        <f t="shared" si="5"/>
        <v>-0.13850155177689383</v>
      </c>
      <c r="F23" s="21">
        <f>+C23-55723</f>
        <v>62528</v>
      </c>
      <c r="G23" s="21">
        <f>+D23-65092</f>
        <v>72170</v>
      </c>
      <c r="H23" s="23">
        <f t="shared" si="6"/>
        <v>-0.13360121934321739</v>
      </c>
      <c r="I23" s="24">
        <f t="shared" si="7"/>
        <v>54.246988186146417</v>
      </c>
      <c r="J23" s="24">
        <f t="shared" si="8"/>
        <v>102.59020918628454</v>
      </c>
      <c r="K23" s="21">
        <v>6414760.5999999996</v>
      </c>
      <c r="L23" s="21">
        <v>6514977.2199999997</v>
      </c>
      <c r="M23" s="25">
        <f t="shared" si="9"/>
        <v>-1.5382497377327763E-2</v>
      </c>
      <c r="N23" s="10"/>
      <c r="R23" s="2"/>
    </row>
    <row r="24" spans="1:18" ht="15.75" x14ac:dyDescent="0.25">
      <c r="A24" s="19"/>
      <c r="B24" s="20">
        <f>DATE(2019,10,1)</f>
        <v>43739</v>
      </c>
      <c r="C24" s="21">
        <v>113052</v>
      </c>
      <c r="D24" s="21">
        <v>119937</v>
      </c>
      <c r="E24" s="23">
        <f t="shared" si="5"/>
        <v>-5.7405137697291081E-2</v>
      </c>
      <c r="F24" s="21">
        <f>+C24-54189</f>
        <v>58863</v>
      </c>
      <c r="G24" s="21">
        <f>+D24-56627</f>
        <v>63310</v>
      </c>
      <c r="H24" s="23">
        <f t="shared" si="6"/>
        <v>-7.0241667982941083E-2</v>
      </c>
      <c r="I24" s="24">
        <f t="shared" si="7"/>
        <v>53.507365990871456</v>
      </c>
      <c r="J24" s="24">
        <f t="shared" si="8"/>
        <v>102.765994597625</v>
      </c>
      <c r="K24" s="21">
        <v>6049114.7400000002</v>
      </c>
      <c r="L24" s="21">
        <v>6347121.8700000001</v>
      </c>
      <c r="M24" s="25">
        <f t="shared" si="9"/>
        <v>-4.6951537421795225E-2</v>
      </c>
      <c r="N24" s="10"/>
      <c r="R24" s="2"/>
    </row>
    <row r="25" spans="1:18" ht="15.75" x14ac:dyDescent="0.25">
      <c r="A25" s="19"/>
      <c r="B25" s="20">
        <f>DATE(2019,11,1)</f>
        <v>43770</v>
      </c>
      <c r="C25" s="21">
        <v>116655</v>
      </c>
      <c r="D25" s="21">
        <v>113387</v>
      </c>
      <c r="E25" s="23">
        <f t="shared" si="5"/>
        <v>2.882164622046619E-2</v>
      </c>
      <c r="F25" s="21">
        <f>+C25-56252</f>
        <v>60403</v>
      </c>
      <c r="G25" s="21">
        <f>+D25-54700</f>
        <v>58687</v>
      </c>
      <c r="H25" s="23">
        <f t="shared" si="6"/>
        <v>2.9239865728355512E-2</v>
      </c>
      <c r="I25" s="24">
        <f t="shared" si="7"/>
        <v>54.552035232094639</v>
      </c>
      <c r="J25" s="24">
        <f t="shared" si="8"/>
        <v>105.35515901528069</v>
      </c>
      <c r="K25" s="21">
        <v>6363767.6699999999</v>
      </c>
      <c r="L25" s="21">
        <v>5777883.1900000004</v>
      </c>
      <c r="M25" s="25">
        <f t="shared" si="9"/>
        <v>0.10140123306992634</v>
      </c>
      <c r="N25" s="10"/>
      <c r="R25" s="2"/>
    </row>
    <row r="26" spans="1:18" ht="15.75" x14ac:dyDescent="0.25">
      <c r="A26" s="19"/>
      <c r="B26" s="20">
        <f>DATE(2019,12,1)</f>
        <v>43800</v>
      </c>
      <c r="C26" s="21">
        <v>115489</v>
      </c>
      <c r="D26" s="21">
        <v>130957</v>
      </c>
      <c r="E26" s="23">
        <f t="shared" si="5"/>
        <v>-0.11811510648533488</v>
      </c>
      <c r="F26" s="21">
        <f>+C26-56066</f>
        <v>59423</v>
      </c>
      <c r="G26" s="21">
        <f>+D26-63848</f>
        <v>67109</v>
      </c>
      <c r="H26" s="23">
        <f t="shared" si="6"/>
        <v>-0.11453009283404611</v>
      </c>
      <c r="I26" s="24">
        <f t="shared" si="7"/>
        <v>54.336793893790755</v>
      </c>
      <c r="J26" s="24">
        <f t="shared" si="8"/>
        <v>105.60392423808963</v>
      </c>
      <c r="K26" s="21">
        <v>6275301.9900000002</v>
      </c>
      <c r="L26" s="21">
        <v>6736075.9199999999</v>
      </c>
      <c r="M26" s="25">
        <f t="shared" si="9"/>
        <v>-6.8403909853795075E-2</v>
      </c>
      <c r="N26" s="10"/>
      <c r="R26" s="2"/>
    </row>
    <row r="27" spans="1:18" ht="15.75" x14ac:dyDescent="0.25">
      <c r="A27" s="19"/>
      <c r="B27" s="20">
        <f>DATE(2020,1,1)</f>
        <v>43831</v>
      </c>
      <c r="C27" s="21">
        <v>104167</v>
      </c>
      <c r="D27" s="21">
        <v>105704</v>
      </c>
      <c r="E27" s="23">
        <f t="shared" si="5"/>
        <v>-1.4540603950654658E-2</v>
      </c>
      <c r="F27" s="21">
        <f>+C27-50647</f>
        <v>53520</v>
      </c>
      <c r="G27" s="21">
        <f>+D27-51270</f>
        <v>54434</v>
      </c>
      <c r="H27" s="23">
        <f t="shared" si="6"/>
        <v>-1.6790976228092735E-2</v>
      </c>
      <c r="I27" s="24">
        <f t="shared" si="7"/>
        <v>54.091592346904491</v>
      </c>
      <c r="J27" s="24">
        <f t="shared" si="8"/>
        <v>105.27950112107624</v>
      </c>
      <c r="K27" s="21">
        <v>5634558.9000000004</v>
      </c>
      <c r="L27" s="21">
        <v>5202479.57</v>
      </c>
      <c r="M27" s="25">
        <f t="shared" si="9"/>
        <v>8.3052576023859334E-2</v>
      </c>
      <c r="N27" s="10"/>
      <c r="R27" s="2"/>
    </row>
    <row r="28" spans="1:18" ht="15.75" x14ac:dyDescent="0.25">
      <c r="A28" s="19"/>
      <c r="B28" s="20">
        <f>DATE(2020,2,1)</f>
        <v>43862</v>
      </c>
      <c r="C28" s="21">
        <v>123497</v>
      </c>
      <c r="D28" s="21">
        <v>119333</v>
      </c>
      <c r="E28" s="23">
        <f t="shared" si="5"/>
        <v>3.4893952217743628E-2</v>
      </c>
      <c r="F28" s="21">
        <f>+C28-60781</f>
        <v>62716</v>
      </c>
      <c r="G28" s="21">
        <f>+D28-58302</f>
        <v>61031</v>
      </c>
      <c r="H28" s="23">
        <f t="shared" si="6"/>
        <v>2.7608920057020203E-2</v>
      </c>
      <c r="I28" s="24">
        <f t="shared" si="7"/>
        <v>54.341274039045487</v>
      </c>
      <c r="J28" s="24">
        <f t="shared" si="8"/>
        <v>107.0059366030997</v>
      </c>
      <c r="K28" s="21">
        <v>6710984.3200000003</v>
      </c>
      <c r="L28" s="21">
        <v>6238077.4699999997</v>
      </c>
      <c r="M28" s="25">
        <f t="shared" si="9"/>
        <v>7.5809710968530272E-2</v>
      </c>
      <c r="N28" s="10"/>
      <c r="R28" s="2"/>
    </row>
    <row r="29" spans="1:18" ht="15.75" x14ac:dyDescent="0.25">
      <c r="A29" s="19"/>
      <c r="B29" s="20">
        <f>DATE(2020,3,1)</f>
        <v>43891</v>
      </c>
      <c r="C29" s="21">
        <v>60616</v>
      </c>
      <c r="D29" s="21">
        <v>147225</v>
      </c>
      <c r="E29" s="23">
        <f t="shared" si="5"/>
        <v>-0.58827644761419595</v>
      </c>
      <c r="F29" s="21">
        <f>+C29-29274</f>
        <v>31342</v>
      </c>
      <c r="G29" s="21">
        <f>+D29-71732</f>
        <v>75493</v>
      </c>
      <c r="H29" s="23">
        <f t="shared" si="6"/>
        <v>-0.58483568012928355</v>
      </c>
      <c r="I29" s="24">
        <f t="shared" si="7"/>
        <v>58.467597663983106</v>
      </c>
      <c r="J29" s="24">
        <f t="shared" si="8"/>
        <v>113.07740093165719</v>
      </c>
      <c r="K29" s="21">
        <v>3544071.9</v>
      </c>
      <c r="L29" s="21">
        <v>7845999.8799999999</v>
      </c>
      <c r="M29" s="25">
        <f t="shared" si="9"/>
        <v>-0.54829569790918742</v>
      </c>
      <c r="N29" s="10"/>
      <c r="R29" s="2"/>
    </row>
    <row r="30" spans="1:18" ht="15.75" customHeight="1" thickBot="1" x14ac:dyDescent="0.3">
      <c r="A30" s="19"/>
      <c r="B30" s="20"/>
      <c r="C30" s="21"/>
      <c r="D30" s="21"/>
      <c r="E30" s="23"/>
      <c r="F30" s="21"/>
      <c r="G30" s="21"/>
      <c r="H30" s="23"/>
      <c r="I30" s="24"/>
      <c r="J30" s="24"/>
      <c r="K30" s="21"/>
      <c r="L30" s="21"/>
      <c r="M30" s="25"/>
      <c r="N30" s="10"/>
      <c r="R30" s="2"/>
    </row>
    <row r="31" spans="1:18" ht="17.25" customHeight="1" thickTop="1" thickBot="1" x14ac:dyDescent="0.3">
      <c r="A31" s="26" t="s">
        <v>14</v>
      </c>
      <c r="B31" s="27"/>
      <c r="C31" s="28">
        <f>SUM(C21:C30)</f>
        <v>1010737</v>
      </c>
      <c r="D31" s="28">
        <f>SUM(D21:D30)</f>
        <v>1154077</v>
      </c>
      <c r="E31" s="278">
        <f>(+C31-D31)/D31</f>
        <v>-0.12420315108957201</v>
      </c>
      <c r="F31" s="28">
        <f>SUM(F21:F30)</f>
        <v>523617</v>
      </c>
      <c r="G31" s="28">
        <f>SUM(G21:G30)</f>
        <v>599151</v>
      </c>
      <c r="H31" s="30">
        <f>(+F31-G31)/G31</f>
        <v>-0.12606838676727569</v>
      </c>
      <c r="I31" s="31">
        <f>K31/C31</f>
        <v>54.341476368234275</v>
      </c>
      <c r="J31" s="31">
        <f>K31/F31</f>
        <v>104.89525893926286</v>
      </c>
      <c r="K31" s="28">
        <f>SUM(K21:K30)</f>
        <v>54924940.800000004</v>
      </c>
      <c r="L31" s="28">
        <f>SUM(L21:L30)</f>
        <v>59136066.640000001</v>
      </c>
      <c r="M31" s="32">
        <f>(+K31-L31)/L31</f>
        <v>-7.12107869066754E-2</v>
      </c>
      <c r="N31" s="10"/>
      <c r="R31" s="2"/>
    </row>
    <row r="32" spans="1:18" ht="15.75" customHeight="1" thickTop="1" x14ac:dyDescent="0.25">
      <c r="A32" s="33"/>
      <c r="B32" s="34"/>
      <c r="C32" s="35"/>
      <c r="D32" s="35"/>
      <c r="E32" s="29"/>
      <c r="F32" s="35"/>
      <c r="G32" s="35"/>
      <c r="H32" s="29"/>
      <c r="I32" s="36"/>
      <c r="J32" s="36"/>
      <c r="K32" s="35"/>
      <c r="L32" s="35"/>
      <c r="M32" s="37"/>
      <c r="N32" s="10"/>
      <c r="R32" s="2"/>
    </row>
    <row r="33" spans="1:18" ht="15.75" customHeight="1" x14ac:dyDescent="0.25">
      <c r="A33" s="19" t="s">
        <v>56</v>
      </c>
      <c r="B33" s="20">
        <f>DATE(2019,7,1)</f>
        <v>43647</v>
      </c>
      <c r="C33" s="21">
        <v>66822</v>
      </c>
      <c r="D33" s="21">
        <v>72910</v>
      </c>
      <c r="E33" s="23">
        <f t="shared" ref="E33:E41" si="10">(+C33-D33)/D33</f>
        <v>-8.3500205733095592E-2</v>
      </c>
      <c r="F33" s="21">
        <f>+C33-35692</f>
        <v>31130</v>
      </c>
      <c r="G33" s="21">
        <f>+D33-39365</f>
        <v>33545</v>
      </c>
      <c r="H33" s="23">
        <f t="shared" ref="H33:H41" si="11">(+F33-G33)/G33</f>
        <v>-7.1992845431509911E-2</v>
      </c>
      <c r="I33" s="24">
        <f t="shared" ref="I33:I41" si="12">K33/C33</f>
        <v>48.793103618568736</v>
      </c>
      <c r="J33" s="24">
        <f t="shared" ref="J33:J41" si="13">K33/F33</f>
        <v>104.73667748152907</v>
      </c>
      <c r="K33" s="21">
        <v>3260452.77</v>
      </c>
      <c r="L33" s="21">
        <v>3264963.85</v>
      </c>
      <c r="M33" s="25">
        <f t="shared" ref="M33:M41" si="14">(+K33-L33)/L33</f>
        <v>-1.3816630772190859E-3</v>
      </c>
      <c r="N33" s="10"/>
      <c r="R33" s="2"/>
    </row>
    <row r="34" spans="1:18" ht="15.75" customHeight="1" x14ac:dyDescent="0.25">
      <c r="A34" s="19"/>
      <c r="B34" s="20">
        <f>DATE(2019,8,1)</f>
        <v>43678</v>
      </c>
      <c r="C34" s="21">
        <v>69025</v>
      </c>
      <c r="D34" s="21">
        <v>70574</v>
      </c>
      <c r="E34" s="23">
        <f t="shared" si="10"/>
        <v>-2.1948592966248192E-2</v>
      </c>
      <c r="F34" s="21">
        <f>+C34-37871</f>
        <v>31154</v>
      </c>
      <c r="G34" s="21">
        <f>+D34-38367</f>
        <v>32207</v>
      </c>
      <c r="H34" s="23">
        <f t="shared" si="11"/>
        <v>-3.2694755798428912E-2</v>
      </c>
      <c r="I34" s="24">
        <f t="shared" si="12"/>
        <v>46.687241434262944</v>
      </c>
      <c r="J34" s="24">
        <f t="shared" si="13"/>
        <v>103.4405482442062</v>
      </c>
      <c r="K34" s="21">
        <v>3222586.84</v>
      </c>
      <c r="L34" s="21">
        <v>3124652.26</v>
      </c>
      <c r="M34" s="25">
        <f t="shared" si="14"/>
        <v>3.1342553299034973E-2</v>
      </c>
      <c r="N34" s="10"/>
      <c r="R34" s="2"/>
    </row>
    <row r="35" spans="1:18" ht="15.75" customHeight="1" x14ac:dyDescent="0.25">
      <c r="A35" s="19"/>
      <c r="B35" s="20">
        <f>DATE(2019,9,1)</f>
        <v>43709</v>
      </c>
      <c r="C35" s="21">
        <v>65573</v>
      </c>
      <c r="D35" s="21">
        <v>68201</v>
      </c>
      <c r="E35" s="23">
        <f t="shared" si="10"/>
        <v>-3.8533159337839622E-2</v>
      </c>
      <c r="F35" s="21">
        <f>+C35-35939</f>
        <v>29634</v>
      </c>
      <c r="G35" s="21">
        <f>+D35-36459</f>
        <v>31742</v>
      </c>
      <c r="H35" s="23">
        <f t="shared" si="11"/>
        <v>-6.6410434125133894E-2</v>
      </c>
      <c r="I35" s="24">
        <f t="shared" si="12"/>
        <v>47.458679486983975</v>
      </c>
      <c r="J35" s="24">
        <f t="shared" si="13"/>
        <v>105.01477998245259</v>
      </c>
      <c r="K35" s="21">
        <v>3112007.99</v>
      </c>
      <c r="L35" s="21">
        <v>3126829.64</v>
      </c>
      <c r="M35" s="25">
        <f t="shared" si="14"/>
        <v>-4.7401527126370423E-3</v>
      </c>
      <c r="N35" s="10"/>
      <c r="R35" s="2"/>
    </row>
    <row r="36" spans="1:18" ht="15.75" customHeight="1" x14ac:dyDescent="0.25">
      <c r="A36" s="19"/>
      <c r="B36" s="20">
        <f>DATE(2019,10,1)</f>
        <v>43739</v>
      </c>
      <c r="C36" s="21">
        <v>63039</v>
      </c>
      <c r="D36" s="21">
        <v>62804</v>
      </c>
      <c r="E36" s="23">
        <f t="shared" si="10"/>
        <v>3.7417998853576206E-3</v>
      </c>
      <c r="F36" s="21">
        <f>+C36-34568</f>
        <v>28471</v>
      </c>
      <c r="G36" s="21">
        <f>+D36-33338</f>
        <v>29466</v>
      </c>
      <c r="H36" s="23">
        <f t="shared" si="11"/>
        <v>-3.3767732301635781E-2</v>
      </c>
      <c r="I36" s="24">
        <f t="shared" si="12"/>
        <v>49.582150414822571</v>
      </c>
      <c r="J36" s="24">
        <f t="shared" si="13"/>
        <v>109.78220575322258</v>
      </c>
      <c r="K36" s="21">
        <v>3125609.18</v>
      </c>
      <c r="L36" s="21">
        <v>2846929.77</v>
      </c>
      <c r="M36" s="25">
        <f t="shared" si="14"/>
        <v>9.7887700967066754E-2</v>
      </c>
      <c r="N36" s="10"/>
      <c r="R36" s="2"/>
    </row>
    <row r="37" spans="1:18" ht="15.75" customHeight="1" x14ac:dyDescent="0.25">
      <c r="A37" s="19"/>
      <c r="B37" s="20">
        <f>DATE(2019,11,1)</f>
        <v>43770</v>
      </c>
      <c r="C37" s="21">
        <v>64360</v>
      </c>
      <c r="D37" s="21">
        <v>61960</v>
      </c>
      <c r="E37" s="23">
        <f t="shared" si="10"/>
        <v>3.8734667527437053E-2</v>
      </c>
      <c r="F37" s="21">
        <f>+C37-35276</f>
        <v>29084</v>
      </c>
      <c r="G37" s="21">
        <f>+D37-34125</f>
        <v>27835</v>
      </c>
      <c r="H37" s="23">
        <f t="shared" si="11"/>
        <v>4.4871564576971439E-2</v>
      </c>
      <c r="I37" s="24">
        <f t="shared" si="12"/>
        <v>49.868162678682417</v>
      </c>
      <c r="J37" s="24">
        <f t="shared" si="13"/>
        <v>110.35328531151148</v>
      </c>
      <c r="K37" s="21">
        <v>3209514.95</v>
      </c>
      <c r="L37" s="21">
        <v>2852375.01</v>
      </c>
      <c r="M37" s="25">
        <f t="shared" si="14"/>
        <v>0.12520791927706604</v>
      </c>
      <c r="N37" s="10"/>
      <c r="R37" s="2"/>
    </row>
    <row r="38" spans="1:18" ht="15.75" customHeight="1" x14ac:dyDescent="0.25">
      <c r="A38" s="19"/>
      <c r="B38" s="20">
        <f>DATE(2019,12,1)</f>
        <v>43800</v>
      </c>
      <c r="C38" s="21">
        <v>68470</v>
      </c>
      <c r="D38" s="21">
        <v>67802</v>
      </c>
      <c r="E38" s="23">
        <f t="shared" si="10"/>
        <v>9.852216748768473E-3</v>
      </c>
      <c r="F38" s="21">
        <f>+C38-38903</f>
        <v>29567</v>
      </c>
      <c r="G38" s="21">
        <f>+D38-38252</f>
        <v>29550</v>
      </c>
      <c r="H38" s="23">
        <f t="shared" si="11"/>
        <v>5.7529610829103216E-4</v>
      </c>
      <c r="I38" s="24">
        <f t="shared" si="12"/>
        <v>49.979146925660871</v>
      </c>
      <c r="J38" s="24">
        <f t="shared" si="13"/>
        <v>115.73958095173673</v>
      </c>
      <c r="K38" s="21">
        <v>3422072.19</v>
      </c>
      <c r="L38" s="21">
        <v>3248132.45</v>
      </c>
      <c r="M38" s="25">
        <f t="shared" si="14"/>
        <v>5.3550691875265045E-2</v>
      </c>
      <c r="N38" s="10"/>
      <c r="R38" s="2"/>
    </row>
    <row r="39" spans="1:18" ht="15.75" customHeight="1" x14ac:dyDescent="0.25">
      <c r="A39" s="19"/>
      <c r="B39" s="20">
        <f>DATE(2020,1,1)</f>
        <v>43831</v>
      </c>
      <c r="C39" s="21">
        <v>64187</v>
      </c>
      <c r="D39" s="21">
        <v>58743</v>
      </c>
      <c r="E39" s="23">
        <f t="shared" si="10"/>
        <v>9.2674871899630598E-2</v>
      </c>
      <c r="F39" s="21">
        <f>+C39-35543</f>
        <v>28644</v>
      </c>
      <c r="G39" s="21">
        <f>+D39-31774</f>
        <v>26969</v>
      </c>
      <c r="H39" s="23">
        <f t="shared" si="11"/>
        <v>6.2108346620193558E-2</v>
      </c>
      <c r="I39" s="24">
        <f t="shared" si="12"/>
        <v>50.324496860735039</v>
      </c>
      <c r="J39" s="24">
        <f t="shared" si="13"/>
        <v>112.76981147884374</v>
      </c>
      <c r="K39" s="21">
        <v>3230178.48</v>
      </c>
      <c r="L39" s="21">
        <v>2770218.85</v>
      </c>
      <c r="M39" s="25">
        <f t="shared" si="14"/>
        <v>0.16603728979751903</v>
      </c>
      <c r="N39" s="10"/>
      <c r="R39" s="2"/>
    </row>
    <row r="40" spans="1:18" ht="15.75" customHeight="1" x14ac:dyDescent="0.25">
      <c r="A40" s="19"/>
      <c r="B40" s="20">
        <f>DATE(2020,2,1)</f>
        <v>43862</v>
      </c>
      <c r="C40" s="21">
        <v>69427</v>
      </c>
      <c r="D40" s="21">
        <v>62348</v>
      </c>
      <c r="E40" s="23">
        <f t="shared" si="10"/>
        <v>0.11354012959517547</v>
      </c>
      <c r="F40" s="21">
        <f>+C40-38411</f>
        <v>31016</v>
      </c>
      <c r="G40" s="21">
        <f>+D40-34888</f>
        <v>27460</v>
      </c>
      <c r="H40" s="23">
        <f t="shared" si="11"/>
        <v>0.12949745083758193</v>
      </c>
      <c r="I40" s="24">
        <f t="shared" si="12"/>
        <v>50.622267561611473</v>
      </c>
      <c r="J40" s="24">
        <f t="shared" si="13"/>
        <v>113.31416591436678</v>
      </c>
      <c r="K40" s="21">
        <v>3514552.17</v>
      </c>
      <c r="L40" s="21">
        <v>2905855.64</v>
      </c>
      <c r="M40" s="25">
        <f t="shared" si="14"/>
        <v>0.20947239140895513</v>
      </c>
      <c r="N40" s="10"/>
      <c r="R40" s="2"/>
    </row>
    <row r="41" spans="1:18" ht="15.75" customHeight="1" x14ac:dyDescent="0.25">
      <c r="A41" s="19"/>
      <c r="B41" s="20">
        <f>DATE(2020,3,1)</f>
        <v>43891</v>
      </c>
      <c r="C41" s="21">
        <v>36517</v>
      </c>
      <c r="D41" s="21">
        <v>74820</v>
      </c>
      <c r="E41" s="23">
        <f t="shared" si="10"/>
        <v>-0.51193531141406046</v>
      </c>
      <c r="F41" s="21">
        <f>+C41-19753</f>
        <v>16764</v>
      </c>
      <c r="G41" s="21">
        <f>+D41-42126</f>
        <v>32694</v>
      </c>
      <c r="H41" s="23">
        <f t="shared" si="11"/>
        <v>-0.48724536612222424</v>
      </c>
      <c r="I41" s="24">
        <f t="shared" si="12"/>
        <v>52.211821343483862</v>
      </c>
      <c r="J41" s="24">
        <f t="shared" si="13"/>
        <v>113.73294440467669</v>
      </c>
      <c r="K41" s="21">
        <v>1906619.08</v>
      </c>
      <c r="L41" s="21">
        <v>3837736.13</v>
      </c>
      <c r="M41" s="25">
        <f t="shared" si="14"/>
        <v>-0.50319172152151059</v>
      </c>
      <c r="N41" s="10"/>
      <c r="R41" s="2"/>
    </row>
    <row r="42" spans="1:18" ht="15.75" customHeight="1" thickBot="1" x14ac:dyDescent="0.25">
      <c r="A42" s="38"/>
      <c r="B42" s="20"/>
      <c r="C42" s="21"/>
      <c r="D42" s="21"/>
      <c r="E42" s="23"/>
      <c r="F42" s="21"/>
      <c r="G42" s="21"/>
      <c r="H42" s="23"/>
      <c r="I42" s="24"/>
      <c r="J42" s="24"/>
      <c r="K42" s="21"/>
      <c r="L42" s="21"/>
      <c r="M42" s="25"/>
      <c r="N42" s="10"/>
      <c r="R42" s="2"/>
    </row>
    <row r="43" spans="1:18" ht="17.25" customHeight="1" thickTop="1" thickBot="1" x14ac:dyDescent="0.3">
      <c r="A43" s="39" t="s">
        <v>14</v>
      </c>
      <c r="B43" s="40"/>
      <c r="C43" s="41">
        <f>SUM(C33:C42)</f>
        <v>567420</v>
      </c>
      <c r="D43" s="41">
        <f>SUM(D33:D42)</f>
        <v>600162</v>
      </c>
      <c r="E43" s="279">
        <f>(+C43-D43)/D43</f>
        <v>-5.4555270077079186E-2</v>
      </c>
      <c r="F43" s="41">
        <f>SUM(F33:F42)</f>
        <v>255464</v>
      </c>
      <c r="G43" s="41">
        <f>SUM(G33:G42)</f>
        <v>271468</v>
      </c>
      <c r="H43" s="42">
        <f>(+F43-G43)/G43</f>
        <v>-5.8953541485552624E-2</v>
      </c>
      <c r="I43" s="43">
        <f>K43/C43</f>
        <v>49.352496651510343</v>
      </c>
      <c r="J43" s="43">
        <f>K43/F43</f>
        <v>109.61855153759433</v>
      </c>
      <c r="K43" s="41">
        <f>SUM(K33:K42)</f>
        <v>28003593.649999999</v>
      </c>
      <c r="L43" s="41">
        <f>SUM(L33:L42)</f>
        <v>27977693.600000001</v>
      </c>
      <c r="M43" s="44">
        <f>(+K43-L43)/L43</f>
        <v>9.2573928252602706E-4</v>
      </c>
      <c r="N43" s="10"/>
      <c r="R43" s="2"/>
    </row>
    <row r="44" spans="1:18" ht="15.75" customHeight="1" thickTop="1" x14ac:dyDescent="0.2">
      <c r="A44" s="38"/>
      <c r="B44" s="45"/>
      <c r="C44" s="21"/>
      <c r="D44" s="21"/>
      <c r="E44" s="23"/>
      <c r="F44" s="21"/>
      <c r="G44" s="21"/>
      <c r="H44" s="23"/>
      <c r="I44" s="24"/>
      <c r="J44" s="24"/>
      <c r="K44" s="21"/>
      <c r="L44" s="21"/>
      <c r="M44" s="25"/>
      <c r="N44" s="10"/>
      <c r="R44" s="2"/>
    </row>
    <row r="45" spans="1:18" ht="15.75" customHeight="1" x14ac:dyDescent="0.25">
      <c r="A45" s="177" t="s">
        <v>65</v>
      </c>
      <c r="B45" s="20">
        <f>DATE(2019,7,1)</f>
        <v>43647</v>
      </c>
      <c r="C45" s="21">
        <v>438217</v>
      </c>
      <c r="D45" s="21">
        <v>465892</v>
      </c>
      <c r="E45" s="23">
        <f t="shared" ref="E45:E53" si="15">(+C45-D45)/D45</f>
        <v>-5.9402179045787436E-2</v>
      </c>
      <c r="F45" s="21">
        <f>+C45-221917</f>
        <v>216300</v>
      </c>
      <c r="G45" s="21">
        <f>+D45-233751</f>
        <v>232141</v>
      </c>
      <c r="H45" s="23">
        <f t="shared" ref="H45:H53" si="16">(+F45-G45)/G45</f>
        <v>-6.8238699755751892E-2</v>
      </c>
      <c r="I45" s="24">
        <f t="shared" ref="I45:I53" si="17">K45/C45</f>
        <v>46.659625824648522</v>
      </c>
      <c r="J45" s="24">
        <f t="shared" ref="J45:J53" si="18">K45/F45</f>
        <v>94.530935043920479</v>
      </c>
      <c r="K45" s="21">
        <v>20447041.25</v>
      </c>
      <c r="L45" s="21">
        <v>20180093.420000002</v>
      </c>
      <c r="M45" s="25">
        <f t="shared" ref="M45:M53" si="19">(+K45-L45)/L45</f>
        <v>1.3228275233623681E-2</v>
      </c>
      <c r="N45" s="10"/>
      <c r="R45" s="2"/>
    </row>
    <row r="46" spans="1:18" ht="15.75" customHeight="1" x14ac:dyDescent="0.25">
      <c r="A46" s="177"/>
      <c r="B46" s="20">
        <f>DATE(2019,8,1)</f>
        <v>43678</v>
      </c>
      <c r="C46" s="21">
        <v>437029</v>
      </c>
      <c r="D46" s="21">
        <v>454572</v>
      </c>
      <c r="E46" s="23">
        <f t="shared" si="15"/>
        <v>-3.8592346206981515E-2</v>
      </c>
      <c r="F46" s="21">
        <f>+C46-215022</f>
        <v>222007</v>
      </c>
      <c r="G46" s="21">
        <f>+D46-227733</f>
        <v>226839</v>
      </c>
      <c r="H46" s="23">
        <f t="shared" si="16"/>
        <v>-2.1301451690405971E-2</v>
      </c>
      <c r="I46" s="24">
        <f t="shared" si="17"/>
        <v>48.822521114159471</v>
      </c>
      <c r="J46" s="24">
        <f t="shared" si="18"/>
        <v>96.108940618989479</v>
      </c>
      <c r="K46" s="21">
        <v>21336857.579999998</v>
      </c>
      <c r="L46" s="21">
        <v>20410400.739999998</v>
      </c>
      <c r="M46" s="25">
        <f t="shared" si="19"/>
        <v>4.5391408615723237E-2</v>
      </c>
      <c r="N46" s="10"/>
      <c r="R46" s="2"/>
    </row>
    <row r="47" spans="1:18" ht="15.75" customHeight="1" x14ac:dyDescent="0.25">
      <c r="A47" s="177"/>
      <c r="B47" s="20">
        <f>DATE(2019,9,1)</f>
        <v>43709</v>
      </c>
      <c r="C47" s="21">
        <v>403849</v>
      </c>
      <c r="D47" s="21">
        <v>400695</v>
      </c>
      <c r="E47" s="23">
        <f t="shared" si="15"/>
        <v>7.8713235752879366E-3</v>
      </c>
      <c r="F47" s="21">
        <f>+C47-198275</f>
        <v>205574</v>
      </c>
      <c r="G47" s="21">
        <f>+D47-202275</f>
        <v>198420</v>
      </c>
      <c r="H47" s="23">
        <f t="shared" si="16"/>
        <v>3.6054833182138896E-2</v>
      </c>
      <c r="I47" s="24">
        <f t="shared" si="17"/>
        <v>46.879226914019846</v>
      </c>
      <c r="J47" s="24">
        <f t="shared" si="18"/>
        <v>92.093985182951158</v>
      </c>
      <c r="K47" s="21">
        <v>18932128.91</v>
      </c>
      <c r="L47" s="21">
        <v>19424363</v>
      </c>
      <c r="M47" s="25">
        <f t="shared" si="19"/>
        <v>-2.5341067297805331E-2</v>
      </c>
      <c r="N47" s="10"/>
      <c r="R47" s="2"/>
    </row>
    <row r="48" spans="1:18" ht="15.75" customHeight="1" x14ac:dyDescent="0.25">
      <c r="A48" s="177"/>
      <c r="B48" s="20">
        <f>DATE(2019,10,1)</f>
        <v>43739</v>
      </c>
      <c r="C48" s="21">
        <v>396586</v>
      </c>
      <c r="D48" s="21">
        <v>385385</v>
      </c>
      <c r="E48" s="23">
        <f t="shared" si="15"/>
        <v>2.9064442051455038E-2</v>
      </c>
      <c r="F48" s="21">
        <f>+C48-195500</f>
        <v>201086</v>
      </c>
      <c r="G48" s="21">
        <f>+D48-195549</f>
        <v>189836</v>
      </c>
      <c r="H48" s="23">
        <f t="shared" si="16"/>
        <v>5.926167850144335E-2</v>
      </c>
      <c r="I48" s="24">
        <f t="shared" si="17"/>
        <v>47.992456995456223</v>
      </c>
      <c r="J48" s="24">
        <f t="shared" si="18"/>
        <v>94.6517238892812</v>
      </c>
      <c r="K48" s="21">
        <v>19033136.550000001</v>
      </c>
      <c r="L48" s="21">
        <v>18152971.32</v>
      </c>
      <c r="M48" s="25">
        <f t="shared" si="19"/>
        <v>4.8486014464765893E-2</v>
      </c>
      <c r="N48" s="10"/>
      <c r="R48" s="2"/>
    </row>
    <row r="49" spans="1:18" ht="15.75" customHeight="1" x14ac:dyDescent="0.25">
      <c r="A49" s="177"/>
      <c r="B49" s="20">
        <f>DATE(2019,11,1)</f>
        <v>43770</v>
      </c>
      <c r="C49" s="21">
        <v>419787</v>
      </c>
      <c r="D49" s="21">
        <v>374346</v>
      </c>
      <c r="E49" s="23">
        <f t="shared" si="15"/>
        <v>0.12138770014905996</v>
      </c>
      <c r="F49" s="21">
        <f>+C49-213343</f>
        <v>206444</v>
      </c>
      <c r="G49" s="21">
        <f>+D49-191013</f>
        <v>183333</v>
      </c>
      <c r="H49" s="23">
        <f t="shared" si="16"/>
        <v>0.12606022920041673</v>
      </c>
      <c r="I49" s="24">
        <f t="shared" si="17"/>
        <v>48.215090343436074</v>
      </c>
      <c r="J49" s="24">
        <f t="shared" si="18"/>
        <v>98.041445282982309</v>
      </c>
      <c r="K49" s="21">
        <v>20240068.129999999</v>
      </c>
      <c r="L49" s="21">
        <v>17751787.379999999</v>
      </c>
      <c r="M49" s="25">
        <f t="shared" si="19"/>
        <v>0.14017071615016155</v>
      </c>
      <c r="N49" s="10"/>
      <c r="R49" s="2"/>
    </row>
    <row r="50" spans="1:18" ht="15.75" customHeight="1" x14ac:dyDescent="0.25">
      <c r="A50" s="177"/>
      <c r="B50" s="20">
        <f>DATE(2019,12,1)</f>
        <v>43800</v>
      </c>
      <c r="C50" s="21">
        <v>398020</v>
      </c>
      <c r="D50" s="21">
        <v>412048</v>
      </c>
      <c r="E50" s="23">
        <f t="shared" si="15"/>
        <v>-3.4044577330796411E-2</v>
      </c>
      <c r="F50" s="21">
        <f>+C50-203674</f>
        <v>194346</v>
      </c>
      <c r="G50" s="21">
        <f>+D50-211961</f>
        <v>200087</v>
      </c>
      <c r="H50" s="23">
        <f t="shared" si="16"/>
        <v>-2.869251875434186E-2</v>
      </c>
      <c r="I50" s="24">
        <f t="shared" si="17"/>
        <v>49.24968504095272</v>
      </c>
      <c r="J50" s="24">
        <f t="shared" si="18"/>
        <v>100.86320088913587</v>
      </c>
      <c r="K50" s="21">
        <v>19602359.640000001</v>
      </c>
      <c r="L50" s="21">
        <v>19331083.989999998</v>
      </c>
      <c r="M50" s="25">
        <f t="shared" si="19"/>
        <v>1.4033131827492632E-2</v>
      </c>
      <c r="N50" s="10"/>
      <c r="R50" s="2"/>
    </row>
    <row r="51" spans="1:18" ht="15.75" customHeight="1" x14ac:dyDescent="0.25">
      <c r="A51" s="177"/>
      <c r="B51" s="20">
        <f>DATE(2020,1,1)</f>
        <v>43831</v>
      </c>
      <c r="C51" s="21">
        <v>392807</v>
      </c>
      <c r="D51" s="21">
        <v>344029</v>
      </c>
      <c r="E51" s="23">
        <f t="shared" si="15"/>
        <v>0.14178455885986355</v>
      </c>
      <c r="F51" s="21">
        <f>+C51-203293</f>
        <v>189514</v>
      </c>
      <c r="G51" s="21">
        <f>+D51-177399</f>
        <v>166630</v>
      </c>
      <c r="H51" s="23">
        <f t="shared" si="16"/>
        <v>0.13733421352697595</v>
      </c>
      <c r="I51" s="24">
        <f t="shared" si="17"/>
        <v>48.6937611091452</v>
      </c>
      <c r="J51" s="24">
        <f t="shared" si="18"/>
        <v>100.92790094663191</v>
      </c>
      <c r="K51" s="21">
        <v>19127250.219999999</v>
      </c>
      <c r="L51" s="21">
        <v>16412573.119999999</v>
      </c>
      <c r="M51" s="25">
        <f t="shared" si="19"/>
        <v>0.16540228519633854</v>
      </c>
      <c r="N51" s="10"/>
      <c r="R51" s="2"/>
    </row>
    <row r="52" spans="1:18" ht="15.75" customHeight="1" x14ac:dyDescent="0.25">
      <c r="A52" s="177"/>
      <c r="B52" s="20">
        <f>DATE(2020,2,1)</f>
        <v>43862</v>
      </c>
      <c r="C52" s="21">
        <v>433656</v>
      </c>
      <c r="D52" s="21">
        <v>384321</v>
      </c>
      <c r="E52" s="23">
        <f t="shared" si="15"/>
        <v>0.12836925382687908</v>
      </c>
      <c r="F52" s="21">
        <f>+C52-224157</f>
        <v>209499</v>
      </c>
      <c r="G52" s="21">
        <f>+D52-196867</f>
        <v>187454</v>
      </c>
      <c r="H52" s="23">
        <f t="shared" si="16"/>
        <v>0.11760218506940369</v>
      </c>
      <c r="I52" s="24">
        <f t="shared" si="17"/>
        <v>47.539639921965801</v>
      </c>
      <c r="J52" s="24">
        <f t="shared" si="18"/>
        <v>98.405482078673401</v>
      </c>
      <c r="K52" s="21">
        <v>20615850.09</v>
      </c>
      <c r="L52" s="21">
        <v>18593274.640000001</v>
      </c>
      <c r="M52" s="25">
        <f t="shared" si="19"/>
        <v>0.10877994808127027</v>
      </c>
      <c r="N52" s="10"/>
      <c r="R52" s="2"/>
    </row>
    <row r="53" spans="1:18" ht="15.75" customHeight="1" x14ac:dyDescent="0.25">
      <c r="A53" s="177"/>
      <c r="B53" s="20">
        <f>DATE(2020,3,1)</f>
        <v>43891</v>
      </c>
      <c r="C53" s="21">
        <v>188413</v>
      </c>
      <c r="D53" s="21">
        <v>466183</v>
      </c>
      <c r="E53" s="23">
        <f t="shared" si="15"/>
        <v>-0.59583897310712741</v>
      </c>
      <c r="F53" s="21">
        <f>+C53-94334</f>
        <v>94079</v>
      </c>
      <c r="G53" s="21">
        <f>+D53-241983</f>
        <v>224200</v>
      </c>
      <c r="H53" s="23">
        <f t="shared" si="16"/>
        <v>-0.58037912578055306</v>
      </c>
      <c r="I53" s="24">
        <f t="shared" si="17"/>
        <v>50.517513600441582</v>
      </c>
      <c r="J53" s="24">
        <f t="shared" si="18"/>
        <v>101.17195431499059</v>
      </c>
      <c r="K53" s="21">
        <v>9518156.2899999991</v>
      </c>
      <c r="L53" s="21">
        <v>22983143.93</v>
      </c>
      <c r="M53" s="25">
        <f t="shared" si="19"/>
        <v>-0.58586360860857212</v>
      </c>
      <c r="N53" s="10"/>
      <c r="R53" s="2"/>
    </row>
    <row r="54" spans="1:18" ht="15.75" thickBot="1" x14ac:dyDescent="0.25">
      <c r="A54" s="38"/>
      <c r="B54" s="45"/>
      <c r="C54" s="21"/>
      <c r="D54" s="21"/>
      <c r="E54" s="23"/>
      <c r="F54" s="21"/>
      <c r="G54" s="21"/>
      <c r="H54" s="23"/>
      <c r="I54" s="24"/>
      <c r="J54" s="24"/>
      <c r="K54" s="21"/>
      <c r="L54" s="21"/>
      <c r="M54" s="25"/>
      <c r="N54" s="10"/>
      <c r="R54" s="2"/>
    </row>
    <row r="55" spans="1:18" ht="17.25" thickTop="1" thickBot="1" x14ac:dyDescent="0.3">
      <c r="A55" s="39" t="s">
        <v>14</v>
      </c>
      <c r="B55" s="40"/>
      <c r="C55" s="41">
        <f>SUM(C45:C54)</f>
        <v>3508364</v>
      </c>
      <c r="D55" s="41">
        <f>SUM(D45:D54)</f>
        <v>3687471</v>
      </c>
      <c r="E55" s="279">
        <f>(+C55-D55)/D55</f>
        <v>-4.8571771818680068E-2</v>
      </c>
      <c r="F55" s="41">
        <f>SUM(F45:F54)</f>
        <v>1738849</v>
      </c>
      <c r="G55" s="41">
        <f>SUM(G45:G54)</f>
        <v>1808940</v>
      </c>
      <c r="H55" s="42">
        <f>(+F55-G55)/G55</f>
        <v>-3.8747001006114078E-2</v>
      </c>
      <c r="I55" s="43">
        <f>K55/C55</f>
        <v>48.128657305798363</v>
      </c>
      <c r="J55" s="43">
        <f>K55/F55</f>
        <v>97.106102174484363</v>
      </c>
      <c r="K55" s="41">
        <f>SUM(K45:K54)</f>
        <v>168852848.65999997</v>
      </c>
      <c r="L55" s="41">
        <f>SUM(L45:L54)</f>
        <v>173239691.53999999</v>
      </c>
      <c r="M55" s="44">
        <f>(+K55-L55)/L55</f>
        <v>-2.5322389118818824E-2</v>
      </c>
      <c r="N55" s="10"/>
      <c r="R55" s="2"/>
    </row>
    <row r="56" spans="1:18" ht="15.75" thickTop="1" x14ac:dyDescent="0.2">
      <c r="A56" s="38"/>
      <c r="B56" s="45"/>
      <c r="C56" s="21"/>
      <c r="D56" s="21"/>
      <c r="E56" s="23"/>
      <c r="F56" s="21"/>
      <c r="G56" s="21"/>
      <c r="H56" s="23"/>
      <c r="I56" s="24"/>
      <c r="J56" s="24"/>
      <c r="K56" s="21"/>
      <c r="L56" s="21"/>
      <c r="M56" s="25"/>
      <c r="N56" s="10"/>
      <c r="R56" s="2"/>
    </row>
    <row r="57" spans="1:18" ht="15.75" x14ac:dyDescent="0.25">
      <c r="A57" s="19" t="s">
        <v>16</v>
      </c>
      <c r="B57" s="20">
        <f>DATE(2019,7,1)</f>
        <v>43647</v>
      </c>
      <c r="C57" s="21">
        <v>288759</v>
      </c>
      <c r="D57" s="21">
        <v>289167</v>
      </c>
      <c r="E57" s="23">
        <f t="shared" ref="E57:E65" si="20">(+C57-D57)/D57</f>
        <v>-1.410949382190914E-3</v>
      </c>
      <c r="F57" s="21">
        <f>+C57-131177</f>
        <v>157582</v>
      </c>
      <c r="G57" s="21">
        <f>+D57-134357</f>
        <v>154810</v>
      </c>
      <c r="H57" s="23">
        <f t="shared" ref="H57:H65" si="21">(+F57-G57)/G57</f>
        <v>1.790582003746528E-2</v>
      </c>
      <c r="I57" s="24">
        <f t="shared" ref="I57:I65" si="22">K57/C57</f>
        <v>48.751639741098977</v>
      </c>
      <c r="J57" s="24">
        <f t="shared" ref="J57:J65" si="23">K57/F57</f>
        <v>89.334281453465493</v>
      </c>
      <c r="K57" s="21">
        <v>14077474.74</v>
      </c>
      <c r="L57" s="21">
        <v>14895059.23</v>
      </c>
      <c r="M57" s="25">
        <f t="shared" ref="M57:M65" si="24">(+K57-L57)/L57</f>
        <v>-5.4889643429769715E-2</v>
      </c>
      <c r="N57" s="10"/>
      <c r="R57" s="2"/>
    </row>
    <row r="58" spans="1:18" ht="15.75" x14ac:dyDescent="0.25">
      <c r="A58" s="19"/>
      <c r="B58" s="20">
        <f>DATE(2019,8,1)</f>
        <v>43678</v>
      </c>
      <c r="C58" s="21">
        <v>292957</v>
      </c>
      <c r="D58" s="21">
        <v>292132</v>
      </c>
      <c r="E58" s="23">
        <f t="shared" si="20"/>
        <v>2.8240658332534608E-3</v>
      </c>
      <c r="F58" s="21">
        <f>+C58-131852</f>
        <v>161105</v>
      </c>
      <c r="G58" s="21">
        <f>+D58-136807</f>
        <v>155325</v>
      </c>
      <c r="H58" s="23">
        <f t="shared" si="21"/>
        <v>3.7212296797038469E-2</v>
      </c>
      <c r="I58" s="24">
        <f t="shared" si="22"/>
        <v>53.183119911795927</v>
      </c>
      <c r="J58" s="24">
        <f t="shared" si="23"/>
        <v>96.709396108128232</v>
      </c>
      <c r="K58" s="21">
        <v>15580367.26</v>
      </c>
      <c r="L58" s="21">
        <v>14589427.75</v>
      </c>
      <c r="M58" s="25">
        <f t="shared" si="24"/>
        <v>6.7921753133874621E-2</v>
      </c>
      <c r="N58" s="10"/>
      <c r="R58" s="2"/>
    </row>
    <row r="59" spans="1:18" ht="15.75" x14ac:dyDescent="0.25">
      <c r="A59" s="19"/>
      <c r="B59" s="20">
        <f>DATE(2019,9,1)</f>
        <v>43709</v>
      </c>
      <c r="C59" s="21">
        <v>276713</v>
      </c>
      <c r="D59" s="21">
        <v>292955</v>
      </c>
      <c r="E59" s="23">
        <f t="shared" si="20"/>
        <v>-5.5441962076086773E-2</v>
      </c>
      <c r="F59" s="21">
        <f>+C59-125818</f>
        <v>150895</v>
      </c>
      <c r="G59" s="21">
        <f>+D59-135433</f>
        <v>157522</v>
      </c>
      <c r="H59" s="23">
        <f t="shared" si="21"/>
        <v>-4.2070313987887409E-2</v>
      </c>
      <c r="I59" s="24">
        <f t="shared" si="22"/>
        <v>52.918303368472031</v>
      </c>
      <c r="J59" s="24">
        <f t="shared" si="23"/>
        <v>97.042198084760926</v>
      </c>
      <c r="K59" s="21">
        <v>14643182.48</v>
      </c>
      <c r="L59" s="21">
        <v>15232551.26</v>
      </c>
      <c r="M59" s="25">
        <f t="shared" si="24"/>
        <v>-3.8691403031589029E-2</v>
      </c>
      <c r="N59" s="10"/>
      <c r="R59" s="2"/>
    </row>
    <row r="60" spans="1:18" ht="15.75" x14ac:dyDescent="0.25">
      <c r="A60" s="19"/>
      <c r="B60" s="20">
        <f>DATE(2019,10,1)</f>
        <v>43739</v>
      </c>
      <c r="C60" s="21">
        <v>265282</v>
      </c>
      <c r="D60" s="21">
        <v>283107</v>
      </c>
      <c r="E60" s="23">
        <f t="shared" si="20"/>
        <v>-6.2962060281095134E-2</v>
      </c>
      <c r="F60" s="21">
        <f>+C60-120858</f>
        <v>144424</v>
      </c>
      <c r="G60" s="21">
        <f>+D60-129714</f>
        <v>153393</v>
      </c>
      <c r="H60" s="23">
        <f t="shared" si="21"/>
        <v>-5.8470725522025126E-2</v>
      </c>
      <c r="I60" s="24">
        <f t="shared" si="22"/>
        <v>55.320004071139394</v>
      </c>
      <c r="J60" s="24">
        <f t="shared" si="23"/>
        <v>101.61331440757769</v>
      </c>
      <c r="K60" s="21">
        <v>14675401.32</v>
      </c>
      <c r="L60" s="21">
        <v>14681050.109999999</v>
      </c>
      <c r="M60" s="25">
        <f t="shared" si="24"/>
        <v>-3.8476743541331776E-4</v>
      </c>
      <c r="N60" s="10"/>
      <c r="R60" s="2"/>
    </row>
    <row r="61" spans="1:18" ht="15.75" x14ac:dyDescent="0.25">
      <c r="A61" s="19"/>
      <c r="B61" s="20">
        <f>DATE(2019,11,1)</f>
        <v>43770</v>
      </c>
      <c r="C61" s="21">
        <v>288764</v>
      </c>
      <c r="D61" s="21">
        <v>270987</v>
      </c>
      <c r="E61" s="23">
        <f t="shared" si="20"/>
        <v>6.5600932886079405E-2</v>
      </c>
      <c r="F61" s="21">
        <f>+C61-130395</f>
        <v>158369</v>
      </c>
      <c r="G61" s="21">
        <f>+D61-127087</f>
        <v>143900</v>
      </c>
      <c r="H61" s="23">
        <f t="shared" si="21"/>
        <v>0.10054899235580264</v>
      </c>
      <c r="I61" s="24">
        <f t="shared" si="22"/>
        <v>50.373510860079513</v>
      </c>
      <c r="J61" s="24">
        <f t="shared" si="23"/>
        <v>91.849140235778464</v>
      </c>
      <c r="K61" s="21">
        <v>14546056.49</v>
      </c>
      <c r="L61" s="21">
        <v>13799099.199999999</v>
      </c>
      <c r="M61" s="25">
        <f t="shared" si="24"/>
        <v>5.4130873267437707E-2</v>
      </c>
      <c r="N61" s="10"/>
      <c r="R61" s="2"/>
    </row>
    <row r="62" spans="1:18" ht="15.75" x14ac:dyDescent="0.25">
      <c r="A62" s="19"/>
      <c r="B62" s="20">
        <f>DATE(2019,12,1)</f>
        <v>43800</v>
      </c>
      <c r="C62" s="21">
        <v>302309</v>
      </c>
      <c r="D62" s="21">
        <v>307184</v>
      </c>
      <c r="E62" s="23">
        <f t="shared" si="20"/>
        <v>-1.5869967185790926E-2</v>
      </c>
      <c r="F62" s="21">
        <f>+C62-138214</f>
        <v>164095</v>
      </c>
      <c r="G62" s="21">
        <f>+D62-142869</f>
        <v>164315</v>
      </c>
      <c r="H62" s="23">
        <f t="shared" si="21"/>
        <v>-1.3388917627727231E-3</v>
      </c>
      <c r="I62" s="24">
        <f t="shared" si="22"/>
        <v>49.246940812215314</v>
      </c>
      <c r="J62" s="24">
        <f t="shared" si="23"/>
        <v>90.726673146652857</v>
      </c>
      <c r="K62" s="21">
        <v>14887793.43</v>
      </c>
      <c r="L62" s="21">
        <v>15587002.33</v>
      </c>
      <c r="M62" s="25">
        <f t="shared" si="24"/>
        <v>-4.4858458682221831E-2</v>
      </c>
      <c r="N62" s="10"/>
      <c r="R62" s="2"/>
    </row>
    <row r="63" spans="1:18" ht="15.75" x14ac:dyDescent="0.25">
      <c r="A63" s="19"/>
      <c r="B63" s="20">
        <f>DATE(2020,1,1)</f>
        <v>43831</v>
      </c>
      <c r="C63" s="21">
        <v>268298</v>
      </c>
      <c r="D63" s="21">
        <v>270469</v>
      </c>
      <c r="E63" s="23">
        <f t="shared" si="20"/>
        <v>-8.0267978955074325E-3</v>
      </c>
      <c r="F63" s="21">
        <f>+C63-120188</f>
        <v>148110</v>
      </c>
      <c r="G63" s="21">
        <f>+D63-125284</f>
        <v>145185</v>
      </c>
      <c r="H63" s="23">
        <f t="shared" si="21"/>
        <v>2.0146709370802769E-2</v>
      </c>
      <c r="I63" s="24">
        <f t="shared" si="22"/>
        <v>53.78360677306577</v>
      </c>
      <c r="J63" s="24">
        <f t="shared" si="23"/>
        <v>97.427818040645477</v>
      </c>
      <c r="K63" s="21">
        <v>14430034.130000001</v>
      </c>
      <c r="L63" s="21">
        <v>12515035.970000001</v>
      </c>
      <c r="M63" s="25">
        <f t="shared" si="24"/>
        <v>0.15301579352951714</v>
      </c>
      <c r="N63" s="10"/>
      <c r="R63" s="2"/>
    </row>
    <row r="64" spans="1:18" ht="15.75" x14ac:dyDescent="0.25">
      <c r="A64" s="19"/>
      <c r="B64" s="20">
        <f>DATE(2020,2,1)</f>
        <v>43862</v>
      </c>
      <c r="C64" s="21">
        <v>290524</v>
      </c>
      <c r="D64" s="21">
        <v>258062</v>
      </c>
      <c r="E64" s="23">
        <f t="shared" si="20"/>
        <v>0.12579147646689556</v>
      </c>
      <c r="F64" s="21">
        <f>+C64-132889</f>
        <v>157635</v>
      </c>
      <c r="G64" s="21">
        <f>+D64-117954</f>
        <v>140108</v>
      </c>
      <c r="H64" s="23">
        <f t="shared" si="21"/>
        <v>0.12509635424101406</v>
      </c>
      <c r="I64" s="24">
        <f t="shared" si="22"/>
        <v>52.846744537456459</v>
      </c>
      <c r="J64" s="24">
        <f t="shared" si="23"/>
        <v>97.397453674628096</v>
      </c>
      <c r="K64" s="21">
        <v>15353247.609999999</v>
      </c>
      <c r="L64" s="21">
        <v>12227578.699999999</v>
      </c>
      <c r="M64" s="25">
        <f t="shared" si="24"/>
        <v>0.25562451787777085</v>
      </c>
      <c r="N64" s="10"/>
      <c r="R64" s="2"/>
    </row>
    <row r="65" spans="1:18" ht="15.75" x14ac:dyDescent="0.25">
      <c r="A65" s="19"/>
      <c r="B65" s="20">
        <f>DATE(2020,3,1)</f>
        <v>43891</v>
      </c>
      <c r="C65" s="21">
        <v>144177</v>
      </c>
      <c r="D65" s="21">
        <v>321100</v>
      </c>
      <c r="E65" s="23">
        <f t="shared" si="20"/>
        <v>-0.55099034568670191</v>
      </c>
      <c r="F65" s="21">
        <f>+C65-66448</f>
        <v>77729</v>
      </c>
      <c r="G65" s="21">
        <f>+D65-149429</f>
        <v>171671</v>
      </c>
      <c r="H65" s="23">
        <f t="shared" si="21"/>
        <v>-0.54722113810719342</v>
      </c>
      <c r="I65" s="24">
        <f t="shared" si="22"/>
        <v>50.238043307878513</v>
      </c>
      <c r="J65" s="24">
        <f t="shared" si="23"/>
        <v>93.184916440453378</v>
      </c>
      <c r="K65" s="21">
        <v>7243170.3700000001</v>
      </c>
      <c r="L65" s="21">
        <v>17965716.989999998</v>
      </c>
      <c r="M65" s="25">
        <f t="shared" si="24"/>
        <v>-0.59683377100776636</v>
      </c>
      <c r="N65" s="10"/>
      <c r="R65" s="2"/>
    </row>
    <row r="66" spans="1:18" ht="15.75" thickBot="1" x14ac:dyDescent="0.25">
      <c r="A66" s="38"/>
      <c r="B66" s="20"/>
      <c r="C66" s="21"/>
      <c r="D66" s="21"/>
      <c r="E66" s="23"/>
      <c r="F66" s="21"/>
      <c r="G66" s="21"/>
      <c r="H66" s="23"/>
      <c r="I66" s="24"/>
      <c r="J66" s="24"/>
      <c r="K66" s="21"/>
      <c r="L66" s="21"/>
      <c r="M66" s="25"/>
      <c r="N66" s="10"/>
      <c r="R66" s="2"/>
    </row>
    <row r="67" spans="1:18" ht="17.25" thickTop="1" thickBot="1" x14ac:dyDescent="0.3">
      <c r="A67" s="39" t="s">
        <v>14</v>
      </c>
      <c r="B67" s="40"/>
      <c r="C67" s="41">
        <f>SUM(C57:C66)</f>
        <v>2417783</v>
      </c>
      <c r="D67" s="41">
        <f>SUM(D57:D66)</f>
        <v>2585163</v>
      </c>
      <c r="E67" s="280">
        <f>(+C67-D67)/D67</f>
        <v>-6.4746400903927526E-2</v>
      </c>
      <c r="F67" s="47">
        <f>SUM(F57:F66)</f>
        <v>1319944</v>
      </c>
      <c r="G67" s="48">
        <f>SUM(G57:G66)</f>
        <v>1386229</v>
      </c>
      <c r="H67" s="49">
        <f>(+F67-G67)/G67</f>
        <v>-4.7816774861873468E-2</v>
      </c>
      <c r="I67" s="50">
        <f>K67/C67</f>
        <v>51.880887503138204</v>
      </c>
      <c r="J67" s="51">
        <f>K67/F67</f>
        <v>95.031855768123492</v>
      </c>
      <c r="K67" s="48">
        <f>SUM(K57:K66)</f>
        <v>125436727.83</v>
      </c>
      <c r="L67" s="47">
        <f>SUM(L57:L66)</f>
        <v>131492521.53999999</v>
      </c>
      <c r="M67" s="44">
        <f>(+K67-L67)/L67</f>
        <v>-4.60542823202141E-2</v>
      </c>
      <c r="N67" s="10"/>
      <c r="R67" s="2"/>
    </row>
    <row r="68" spans="1:18" ht="15.75" customHeight="1" thickTop="1" x14ac:dyDescent="0.25">
      <c r="A68" s="273"/>
      <c r="B68" s="45"/>
      <c r="C68" s="21"/>
      <c r="D68" s="21"/>
      <c r="E68" s="23"/>
      <c r="F68" s="21"/>
      <c r="G68" s="21"/>
      <c r="H68" s="23"/>
      <c r="I68" s="24"/>
      <c r="J68" s="24"/>
      <c r="K68" s="21"/>
      <c r="L68" s="21"/>
      <c r="M68" s="25"/>
      <c r="N68" s="10"/>
      <c r="R68" s="2"/>
    </row>
    <row r="69" spans="1:18" ht="15.75" x14ac:dyDescent="0.25">
      <c r="A69" s="274" t="s">
        <v>66</v>
      </c>
      <c r="B69" s="20">
        <f>DATE(2019,7,1)</f>
        <v>43647</v>
      </c>
      <c r="C69" s="21">
        <v>110928</v>
      </c>
      <c r="D69" s="21">
        <v>129160</v>
      </c>
      <c r="E69" s="23">
        <f t="shared" ref="E69:E77" si="25">(+C69-D69)/D69</f>
        <v>-0.14115825332920409</v>
      </c>
      <c r="F69" s="21">
        <f>+C69-54910</f>
        <v>56018</v>
      </c>
      <c r="G69" s="21">
        <f>+D69-62596</f>
        <v>66564</v>
      </c>
      <c r="H69" s="23">
        <f t="shared" ref="H69:H77" si="26">(+F69-G69)/G69</f>
        <v>-0.15843398834204675</v>
      </c>
      <c r="I69" s="24">
        <f t="shared" ref="I69:I77" si="27">K69/C69</f>
        <v>40.178847450598589</v>
      </c>
      <c r="J69" s="24">
        <f t="shared" ref="J69:J77" si="28">K69/F69</f>
        <v>79.562983148273773</v>
      </c>
      <c r="K69" s="21">
        <v>4456959.1900000004</v>
      </c>
      <c r="L69" s="21">
        <v>5218892.55</v>
      </c>
      <c r="M69" s="25">
        <f t="shared" ref="M69:M77" si="29">(+K69-L69)/L69</f>
        <v>-0.14599521885155489</v>
      </c>
      <c r="N69" s="10"/>
      <c r="R69" s="2"/>
    </row>
    <row r="70" spans="1:18" ht="15.75" x14ac:dyDescent="0.25">
      <c r="A70" s="274"/>
      <c r="B70" s="20">
        <f>DATE(2019,8,1)</f>
        <v>43678</v>
      </c>
      <c r="C70" s="21">
        <v>114308</v>
      </c>
      <c r="D70" s="21">
        <v>120860</v>
      </c>
      <c r="E70" s="23">
        <f t="shared" si="25"/>
        <v>-5.4211484362071821E-2</v>
      </c>
      <c r="F70" s="21">
        <f>+C70-54234</f>
        <v>60074</v>
      </c>
      <c r="G70" s="21">
        <f>+D70-58336</f>
        <v>62524</v>
      </c>
      <c r="H70" s="23">
        <f t="shared" si="26"/>
        <v>-3.918495297805643E-2</v>
      </c>
      <c r="I70" s="24">
        <f t="shared" si="27"/>
        <v>45.628914424187286</v>
      </c>
      <c r="J70" s="24">
        <f t="shared" si="28"/>
        <v>86.822085261510807</v>
      </c>
      <c r="K70" s="21">
        <v>5215749.95</v>
      </c>
      <c r="L70" s="21">
        <v>5263252.67</v>
      </c>
      <c r="M70" s="25">
        <f t="shared" si="29"/>
        <v>-9.025354277737865E-3</v>
      </c>
      <c r="N70" s="10"/>
      <c r="R70" s="2"/>
    </row>
    <row r="71" spans="1:18" ht="15.75" x14ac:dyDescent="0.25">
      <c r="A71" s="274"/>
      <c r="B71" s="20">
        <f>DATE(2019,9,1)</f>
        <v>43709</v>
      </c>
      <c r="C71" s="21">
        <v>108669</v>
      </c>
      <c r="D71" s="21">
        <v>129571</v>
      </c>
      <c r="E71" s="23">
        <f t="shared" si="25"/>
        <v>-0.16131696135709381</v>
      </c>
      <c r="F71" s="21">
        <f>+C71-53294</f>
        <v>55375</v>
      </c>
      <c r="G71" s="21">
        <f>+D71-62477</f>
        <v>67094</v>
      </c>
      <c r="H71" s="23">
        <f t="shared" si="26"/>
        <v>-0.17466539481920887</v>
      </c>
      <c r="I71" s="24">
        <f t="shared" si="27"/>
        <v>46.652023300113186</v>
      </c>
      <c r="J71" s="24">
        <f t="shared" si="28"/>
        <v>91.550857246049659</v>
      </c>
      <c r="K71" s="21">
        <v>5069628.72</v>
      </c>
      <c r="L71" s="21">
        <v>5057302.72</v>
      </c>
      <c r="M71" s="25">
        <f t="shared" si="29"/>
        <v>2.4372675875728475E-3</v>
      </c>
      <c r="N71" s="10"/>
      <c r="R71" s="2"/>
    </row>
    <row r="72" spans="1:18" ht="15.75" x14ac:dyDescent="0.25">
      <c r="A72" s="274"/>
      <c r="B72" s="20">
        <f>DATE(2019,10,1)</f>
        <v>43739</v>
      </c>
      <c r="C72" s="21">
        <v>108635</v>
      </c>
      <c r="D72" s="21">
        <v>116235</v>
      </c>
      <c r="E72" s="23">
        <f t="shared" si="25"/>
        <v>-6.5384780831935302E-2</v>
      </c>
      <c r="F72" s="21">
        <f>+C72-52866</f>
        <v>55769</v>
      </c>
      <c r="G72" s="21">
        <f>+D72-55536</f>
        <v>60699</v>
      </c>
      <c r="H72" s="23">
        <f t="shared" si="26"/>
        <v>-8.1220448442313714E-2</v>
      </c>
      <c r="I72" s="24">
        <f t="shared" si="27"/>
        <v>46.977865881161691</v>
      </c>
      <c r="J72" s="24">
        <f t="shared" si="28"/>
        <v>91.510345532464271</v>
      </c>
      <c r="K72" s="21">
        <v>5103440.46</v>
      </c>
      <c r="L72" s="21">
        <v>4939589.4400000004</v>
      </c>
      <c r="M72" s="25">
        <f t="shared" si="29"/>
        <v>3.3170979489339815E-2</v>
      </c>
      <c r="N72" s="10"/>
      <c r="R72" s="2"/>
    </row>
    <row r="73" spans="1:18" ht="15.75" x14ac:dyDescent="0.25">
      <c r="A73" s="274"/>
      <c r="B73" s="20">
        <f>DATE(2019,11,1)</f>
        <v>43770</v>
      </c>
      <c r="C73" s="21">
        <v>108978</v>
      </c>
      <c r="D73" s="21">
        <v>117294</v>
      </c>
      <c r="E73" s="23">
        <f t="shared" si="25"/>
        <v>-7.0898767200368307E-2</v>
      </c>
      <c r="F73" s="21">
        <f>+C73-53627</f>
        <v>55351</v>
      </c>
      <c r="G73" s="21">
        <f>+D73-56187</f>
        <v>61107</v>
      </c>
      <c r="H73" s="23">
        <f t="shared" si="26"/>
        <v>-9.4195427692408393E-2</v>
      </c>
      <c r="I73" s="24">
        <f t="shared" si="27"/>
        <v>46.878065572867918</v>
      </c>
      <c r="J73" s="24">
        <f t="shared" si="28"/>
        <v>92.296034940651481</v>
      </c>
      <c r="K73" s="21">
        <v>5108677.83</v>
      </c>
      <c r="L73" s="21">
        <v>4901524.07</v>
      </c>
      <c r="M73" s="25">
        <f t="shared" si="29"/>
        <v>4.2263132250618479E-2</v>
      </c>
      <c r="N73" s="10"/>
      <c r="R73" s="2"/>
    </row>
    <row r="74" spans="1:18" ht="15.75" x14ac:dyDescent="0.25">
      <c r="A74" s="274"/>
      <c r="B74" s="20">
        <f>DATE(2019,12,1)</f>
        <v>43800</v>
      </c>
      <c r="C74" s="21">
        <v>115824</v>
      </c>
      <c r="D74" s="21">
        <v>141406</v>
      </c>
      <c r="E74" s="23">
        <f t="shared" si="25"/>
        <v>-0.180911701059361</v>
      </c>
      <c r="F74" s="21">
        <f>+C74-57047</f>
        <v>58777</v>
      </c>
      <c r="G74" s="21">
        <f>+D74-68500</f>
        <v>72906</v>
      </c>
      <c r="H74" s="23">
        <f t="shared" si="26"/>
        <v>-0.19379749266178367</v>
      </c>
      <c r="I74" s="24">
        <f t="shared" si="27"/>
        <v>46.345267906478789</v>
      </c>
      <c r="J74" s="24">
        <f t="shared" si="28"/>
        <v>91.326442486006428</v>
      </c>
      <c r="K74" s="21">
        <v>5367894.3099999996</v>
      </c>
      <c r="L74" s="21">
        <v>5509337.6900000004</v>
      </c>
      <c r="M74" s="25">
        <f t="shared" si="29"/>
        <v>-2.5673390879040636E-2</v>
      </c>
      <c r="N74" s="10"/>
      <c r="R74" s="2"/>
    </row>
    <row r="75" spans="1:18" ht="15.75" x14ac:dyDescent="0.25">
      <c r="A75" s="274"/>
      <c r="B75" s="20">
        <f>DATE(2020,1,1)</f>
        <v>43831</v>
      </c>
      <c r="C75" s="21">
        <v>108065</v>
      </c>
      <c r="D75" s="21">
        <v>109334</v>
      </c>
      <c r="E75" s="23">
        <f t="shared" si="25"/>
        <v>-1.1606636544899117E-2</v>
      </c>
      <c r="F75" s="21">
        <f>+C75-54017</f>
        <v>54048</v>
      </c>
      <c r="G75" s="21">
        <f>+D75-54908</f>
        <v>54426</v>
      </c>
      <c r="H75" s="23">
        <f t="shared" si="26"/>
        <v>-6.9452100099217286E-3</v>
      </c>
      <c r="I75" s="24">
        <f t="shared" si="27"/>
        <v>46.970194882709485</v>
      </c>
      <c r="J75" s="24">
        <f t="shared" si="28"/>
        <v>93.913449341326228</v>
      </c>
      <c r="K75" s="21">
        <v>5075834.1100000003</v>
      </c>
      <c r="L75" s="21">
        <v>4773513.88</v>
      </c>
      <c r="M75" s="25">
        <f t="shared" si="29"/>
        <v>6.3332848212017859E-2</v>
      </c>
      <c r="N75" s="10"/>
      <c r="R75" s="2"/>
    </row>
    <row r="76" spans="1:18" ht="15.75" x14ac:dyDescent="0.25">
      <c r="A76" s="274"/>
      <c r="B76" s="20">
        <f>DATE(2020,2,1)</f>
        <v>43862</v>
      </c>
      <c r="C76" s="21">
        <v>122513</v>
      </c>
      <c r="D76" s="21">
        <v>121868</v>
      </c>
      <c r="E76" s="23">
        <f t="shared" si="25"/>
        <v>5.2926116782092102E-3</v>
      </c>
      <c r="F76" s="21">
        <f>+C76-61681</f>
        <v>60832</v>
      </c>
      <c r="G76" s="21">
        <f>+D76-59002</f>
        <v>62866</v>
      </c>
      <c r="H76" s="23">
        <f t="shared" si="26"/>
        <v>-3.2354531861419525E-2</v>
      </c>
      <c r="I76" s="24">
        <f t="shared" si="27"/>
        <v>48.514139723947665</v>
      </c>
      <c r="J76" s="24">
        <f t="shared" si="28"/>
        <v>97.705365597054183</v>
      </c>
      <c r="K76" s="21">
        <v>5943612.7999999998</v>
      </c>
      <c r="L76" s="21">
        <v>5088675.46</v>
      </c>
      <c r="M76" s="25">
        <f t="shared" si="29"/>
        <v>0.16800783361413263</v>
      </c>
      <c r="N76" s="10"/>
      <c r="R76" s="2"/>
    </row>
    <row r="77" spans="1:18" ht="15.75" x14ac:dyDescent="0.25">
      <c r="A77" s="274"/>
      <c r="B77" s="20">
        <f>DATE(2020,3,1)</f>
        <v>43891</v>
      </c>
      <c r="C77" s="21">
        <v>63255</v>
      </c>
      <c r="D77" s="21">
        <v>142355</v>
      </c>
      <c r="E77" s="23">
        <f t="shared" si="25"/>
        <v>-0.55565312071932849</v>
      </c>
      <c r="F77" s="21">
        <f>+C77-31837</f>
        <v>31418</v>
      </c>
      <c r="G77" s="21">
        <f>+D77-71376</f>
        <v>70979</v>
      </c>
      <c r="H77" s="23">
        <f t="shared" si="26"/>
        <v>-0.55736203665873008</v>
      </c>
      <c r="I77" s="24">
        <f t="shared" si="27"/>
        <v>46.952463046399494</v>
      </c>
      <c r="J77" s="24">
        <f t="shared" si="28"/>
        <v>94.531098414921374</v>
      </c>
      <c r="K77" s="21">
        <v>2969978.05</v>
      </c>
      <c r="L77" s="21">
        <v>6181613.7199999997</v>
      </c>
      <c r="M77" s="25">
        <f t="shared" si="29"/>
        <v>-0.51954648340595444</v>
      </c>
      <c r="N77" s="10"/>
      <c r="R77" s="2"/>
    </row>
    <row r="78" spans="1:18" ht="15.75" customHeight="1" thickBot="1" x14ac:dyDescent="0.3">
      <c r="A78" s="19"/>
      <c r="B78" s="20"/>
      <c r="C78" s="21"/>
      <c r="D78" s="21"/>
      <c r="E78" s="23"/>
      <c r="F78" s="21"/>
      <c r="G78" s="21"/>
      <c r="H78" s="23"/>
      <c r="I78" s="24"/>
      <c r="J78" s="24"/>
      <c r="K78" s="21"/>
      <c r="L78" s="21"/>
      <c r="M78" s="25"/>
      <c r="N78" s="10"/>
      <c r="R78" s="2"/>
    </row>
    <row r="79" spans="1:18" ht="17.45" customHeight="1" thickTop="1" thickBot="1" x14ac:dyDescent="0.3">
      <c r="A79" s="39" t="s">
        <v>14</v>
      </c>
      <c r="B79" s="52"/>
      <c r="C79" s="47">
        <f>SUM(C69:C78)</f>
        <v>961175</v>
      </c>
      <c r="D79" s="48">
        <f>SUM(D69:D78)</f>
        <v>1128083</v>
      </c>
      <c r="E79" s="280">
        <f>(+C79-D79)/D79</f>
        <v>-0.14795719818488534</v>
      </c>
      <c r="F79" s="48">
        <f>SUM(F69:F78)</f>
        <v>487662</v>
      </c>
      <c r="G79" s="47">
        <f>SUM(G69:G78)</f>
        <v>579165</v>
      </c>
      <c r="H79" s="46">
        <f>(+F79-G79)/G79</f>
        <v>-0.15799124601797415</v>
      </c>
      <c r="I79" s="51">
        <f>K79/C79</f>
        <v>46.101672869144529</v>
      </c>
      <c r="J79" s="50">
        <f>K79/F79</f>
        <v>90.865754190402356</v>
      </c>
      <c r="K79" s="47">
        <f>SUM(K69:K78)</f>
        <v>44311775.419999994</v>
      </c>
      <c r="L79" s="48">
        <f>SUM(L69:L78)</f>
        <v>46933702.200000003</v>
      </c>
      <c r="M79" s="44">
        <f>(+K79-L79)/L79</f>
        <v>-5.5864478127617398E-2</v>
      </c>
      <c r="N79" s="10"/>
      <c r="R79" s="2"/>
    </row>
    <row r="80" spans="1:18" ht="15.75" customHeight="1" thickTop="1" x14ac:dyDescent="0.25">
      <c r="A80" s="19"/>
      <c r="B80" s="45"/>
      <c r="C80" s="21"/>
      <c r="D80" s="21"/>
      <c r="E80" s="23"/>
      <c r="F80" s="21"/>
      <c r="G80" s="21"/>
      <c r="H80" s="23"/>
      <c r="I80" s="24"/>
      <c r="J80" s="24"/>
      <c r="K80" s="21"/>
      <c r="L80" s="21"/>
      <c r="M80" s="25"/>
      <c r="N80" s="10"/>
      <c r="R80" s="2"/>
    </row>
    <row r="81" spans="1:18" ht="15.75" x14ac:dyDescent="0.25">
      <c r="A81" s="19" t="s">
        <v>17</v>
      </c>
      <c r="B81" s="20">
        <f>DATE(2019,7,1)</f>
        <v>43647</v>
      </c>
      <c r="C81" s="21">
        <v>151411</v>
      </c>
      <c r="D81" s="21">
        <v>164240</v>
      </c>
      <c r="E81" s="23">
        <f t="shared" ref="E81:E89" si="30">(+C81-D81)/D81</f>
        <v>-7.8111300535801273E-2</v>
      </c>
      <c r="F81" s="21">
        <f>+C81-71749</f>
        <v>79662</v>
      </c>
      <c r="G81" s="21">
        <f>+D81-78084</f>
        <v>86156</v>
      </c>
      <c r="H81" s="23">
        <f t="shared" ref="H81:H89" si="31">(+F81-G81)/G81</f>
        <v>-7.5374901341752176E-2</v>
      </c>
      <c r="I81" s="24">
        <f t="shared" ref="I81:I89" si="32">K81/C81</f>
        <v>34.630094246785241</v>
      </c>
      <c r="J81" s="24">
        <f t="shared" ref="J81:J89" si="33">K81/F81</f>
        <v>65.82030579197108</v>
      </c>
      <c r="K81" s="21">
        <v>5243377.2</v>
      </c>
      <c r="L81" s="21">
        <v>5776329.8099999996</v>
      </c>
      <c r="M81" s="25">
        <f t="shared" ref="M81:M89" si="34">(+K81-L81)/L81</f>
        <v>-9.2264920378568108E-2</v>
      </c>
      <c r="N81" s="10"/>
      <c r="R81" s="2"/>
    </row>
    <row r="82" spans="1:18" ht="15.75" x14ac:dyDescent="0.25">
      <c r="A82" s="19"/>
      <c r="B82" s="20">
        <f>DATE(2019,8,1)</f>
        <v>43678</v>
      </c>
      <c r="C82" s="21">
        <v>153444</v>
      </c>
      <c r="D82" s="21">
        <v>161125</v>
      </c>
      <c r="E82" s="23">
        <f t="shared" si="30"/>
        <v>-4.7671062839410396E-2</v>
      </c>
      <c r="F82" s="21">
        <f>+C82-72860</f>
        <v>80584</v>
      </c>
      <c r="G82" s="21">
        <f>+D82-76425</f>
        <v>84700</v>
      </c>
      <c r="H82" s="23">
        <f t="shared" si="31"/>
        <v>-4.8595041322314049E-2</v>
      </c>
      <c r="I82" s="24">
        <f t="shared" si="32"/>
        <v>36.91110437684106</v>
      </c>
      <c r="J82" s="24">
        <f t="shared" si="33"/>
        <v>70.284268589298122</v>
      </c>
      <c r="K82" s="21">
        <v>5663787.5</v>
      </c>
      <c r="L82" s="21">
        <v>5562742.8200000003</v>
      </c>
      <c r="M82" s="25">
        <f t="shared" si="34"/>
        <v>1.8164542792938197E-2</v>
      </c>
      <c r="N82" s="10"/>
      <c r="R82" s="2"/>
    </row>
    <row r="83" spans="1:18" ht="15.75" x14ac:dyDescent="0.25">
      <c r="A83" s="19"/>
      <c r="B83" s="20">
        <f>DATE(2019,9,1)</f>
        <v>43709</v>
      </c>
      <c r="C83" s="21">
        <v>143049</v>
      </c>
      <c r="D83" s="21">
        <v>154193</v>
      </c>
      <c r="E83" s="23">
        <f t="shared" si="30"/>
        <v>-7.2273060385361201E-2</v>
      </c>
      <c r="F83" s="21">
        <f>+C83-67371</f>
        <v>75678</v>
      </c>
      <c r="G83" s="21">
        <f>+D83-72768</f>
        <v>81425</v>
      </c>
      <c r="H83" s="23">
        <f t="shared" si="31"/>
        <v>-7.0580288609149527E-2</v>
      </c>
      <c r="I83" s="24">
        <f t="shared" si="32"/>
        <v>35.52142797223329</v>
      </c>
      <c r="J83" s="24">
        <f t="shared" si="33"/>
        <v>67.143750495520493</v>
      </c>
      <c r="K83" s="21">
        <v>5081304.75</v>
      </c>
      <c r="L83" s="21">
        <v>5375376.2999999998</v>
      </c>
      <c r="M83" s="25">
        <f t="shared" si="34"/>
        <v>-5.4707156036685252E-2</v>
      </c>
      <c r="N83" s="10"/>
      <c r="R83" s="2"/>
    </row>
    <row r="84" spans="1:18" ht="15.75" x14ac:dyDescent="0.25">
      <c r="A84" s="19"/>
      <c r="B84" s="20">
        <f>DATE(2019,10,1)</f>
        <v>43739</v>
      </c>
      <c r="C84" s="21">
        <v>147133</v>
      </c>
      <c r="D84" s="21">
        <v>153175</v>
      </c>
      <c r="E84" s="23">
        <f t="shared" si="30"/>
        <v>-3.9445079157826017E-2</v>
      </c>
      <c r="F84" s="21">
        <f>+C84-70441</f>
        <v>76692</v>
      </c>
      <c r="G84" s="21">
        <f>+D84-73639</f>
        <v>79536</v>
      </c>
      <c r="H84" s="23">
        <f t="shared" si="31"/>
        <v>-3.5757392878696441E-2</v>
      </c>
      <c r="I84" s="24">
        <f t="shared" si="32"/>
        <v>36.719846737305701</v>
      </c>
      <c r="J84" s="24">
        <f t="shared" si="33"/>
        <v>70.446737730141351</v>
      </c>
      <c r="K84" s="21">
        <v>5402701.21</v>
      </c>
      <c r="L84" s="21">
        <v>5256338.8</v>
      </c>
      <c r="M84" s="25">
        <f t="shared" si="34"/>
        <v>2.7844934576896022E-2</v>
      </c>
      <c r="N84" s="10"/>
      <c r="R84" s="2"/>
    </row>
    <row r="85" spans="1:18" ht="15.75" x14ac:dyDescent="0.25">
      <c r="A85" s="19"/>
      <c r="B85" s="20">
        <f>DATE(2019,11,1)</f>
        <v>43770</v>
      </c>
      <c r="C85" s="21">
        <v>147609</v>
      </c>
      <c r="D85" s="21">
        <v>139109</v>
      </c>
      <c r="E85" s="23">
        <f t="shared" si="30"/>
        <v>6.1103163706158481E-2</v>
      </c>
      <c r="F85" s="21">
        <f>+C85-72727</f>
        <v>74882</v>
      </c>
      <c r="G85" s="21">
        <f>+D85-66707</f>
        <v>72402</v>
      </c>
      <c r="H85" s="23">
        <f t="shared" si="31"/>
        <v>3.4253197425485486E-2</v>
      </c>
      <c r="I85" s="24">
        <f t="shared" si="32"/>
        <v>36.772296133704586</v>
      </c>
      <c r="J85" s="24">
        <f t="shared" si="33"/>
        <v>72.486336636307797</v>
      </c>
      <c r="K85" s="21">
        <v>5427921.8600000003</v>
      </c>
      <c r="L85" s="21">
        <v>5071701.4800000004</v>
      </c>
      <c r="M85" s="25">
        <f t="shared" si="34"/>
        <v>7.0236858656751985E-2</v>
      </c>
      <c r="N85" s="10"/>
      <c r="R85" s="2"/>
    </row>
    <row r="86" spans="1:18" ht="15.75" x14ac:dyDescent="0.25">
      <c r="A86" s="19"/>
      <c r="B86" s="20">
        <f>DATE(2019,12,1)</f>
        <v>43800</v>
      </c>
      <c r="C86" s="21">
        <v>146815</v>
      </c>
      <c r="D86" s="21">
        <v>159746</v>
      </c>
      <c r="E86" s="23">
        <f t="shared" si="30"/>
        <v>-8.09472537653525E-2</v>
      </c>
      <c r="F86" s="21">
        <f>+C86-72079</f>
        <v>74736</v>
      </c>
      <c r="G86" s="21">
        <f>+D86-79467</f>
        <v>80279</v>
      </c>
      <c r="H86" s="23">
        <f t="shared" si="31"/>
        <v>-6.9046699635022857E-2</v>
      </c>
      <c r="I86" s="24">
        <f t="shared" si="32"/>
        <v>36.822510165854986</v>
      </c>
      <c r="J86" s="24">
        <f t="shared" si="33"/>
        <v>72.335913482123743</v>
      </c>
      <c r="K86" s="21">
        <v>5406096.8300000001</v>
      </c>
      <c r="L86" s="21">
        <v>5582453.1200000001</v>
      </c>
      <c r="M86" s="25">
        <f t="shared" si="34"/>
        <v>-3.1591181548516083E-2</v>
      </c>
      <c r="N86" s="10"/>
      <c r="R86" s="2"/>
    </row>
    <row r="87" spans="1:18" ht="15.75" x14ac:dyDescent="0.25">
      <c r="A87" s="19"/>
      <c r="B87" s="20">
        <f>DATE(2020,1,1)</f>
        <v>43831</v>
      </c>
      <c r="C87" s="21">
        <v>138036</v>
      </c>
      <c r="D87" s="21">
        <v>139301</v>
      </c>
      <c r="E87" s="23">
        <f t="shared" si="30"/>
        <v>-9.081054694510449E-3</v>
      </c>
      <c r="F87" s="21">
        <f>+C87-67428</f>
        <v>70608</v>
      </c>
      <c r="G87" s="21">
        <f>+D87-68038</f>
        <v>71263</v>
      </c>
      <c r="H87" s="23">
        <f t="shared" si="31"/>
        <v>-9.1913054460238831E-3</v>
      </c>
      <c r="I87" s="24">
        <f t="shared" si="32"/>
        <v>37.599206221565389</v>
      </c>
      <c r="J87" s="24">
        <f t="shared" si="33"/>
        <v>73.50504234647633</v>
      </c>
      <c r="K87" s="21">
        <v>5190044.03</v>
      </c>
      <c r="L87" s="21">
        <v>4785445.8099999996</v>
      </c>
      <c r="M87" s="25">
        <f t="shared" si="34"/>
        <v>8.4547654714744472E-2</v>
      </c>
      <c r="N87" s="10"/>
      <c r="R87" s="2"/>
    </row>
    <row r="88" spans="1:18" ht="15.75" x14ac:dyDescent="0.25">
      <c r="A88" s="19"/>
      <c r="B88" s="20">
        <f>DATE(2020,2,1)</f>
        <v>43862</v>
      </c>
      <c r="C88" s="21">
        <v>152132</v>
      </c>
      <c r="D88" s="21">
        <v>141977</v>
      </c>
      <c r="E88" s="23">
        <f t="shared" si="30"/>
        <v>7.1525669650718077E-2</v>
      </c>
      <c r="F88" s="21">
        <f>+C88-75603</f>
        <v>76529</v>
      </c>
      <c r="G88" s="21">
        <f>+D88-71543</f>
        <v>70434</v>
      </c>
      <c r="H88" s="23">
        <f t="shared" si="31"/>
        <v>8.6534912116307469E-2</v>
      </c>
      <c r="I88" s="24">
        <f t="shared" si="32"/>
        <v>38.195924263139901</v>
      </c>
      <c r="J88" s="24">
        <f t="shared" si="33"/>
        <v>75.929678291889346</v>
      </c>
      <c r="K88" s="21">
        <v>5810822.3499999996</v>
      </c>
      <c r="L88" s="21">
        <v>5198998.7699999996</v>
      </c>
      <c r="M88" s="25">
        <f t="shared" si="34"/>
        <v>0.11768103957447178</v>
      </c>
      <c r="N88" s="10"/>
      <c r="R88" s="2"/>
    </row>
    <row r="89" spans="1:18" ht="15.75" x14ac:dyDescent="0.25">
      <c r="A89" s="19"/>
      <c r="B89" s="20">
        <f>DATE(2020,3,1)</f>
        <v>43891</v>
      </c>
      <c r="C89" s="21">
        <v>83823</v>
      </c>
      <c r="D89" s="21">
        <v>174861</v>
      </c>
      <c r="E89" s="23">
        <f t="shared" si="30"/>
        <v>-0.52063067236261951</v>
      </c>
      <c r="F89" s="21">
        <f>+C89-41284</f>
        <v>42539</v>
      </c>
      <c r="G89" s="21">
        <f>+D89-87444</f>
        <v>87417</v>
      </c>
      <c r="H89" s="23">
        <f t="shared" si="31"/>
        <v>-0.51337840465813289</v>
      </c>
      <c r="I89" s="24">
        <f t="shared" si="32"/>
        <v>39.885397206017437</v>
      </c>
      <c r="J89" s="24">
        <f t="shared" si="33"/>
        <v>78.594081901314084</v>
      </c>
      <c r="K89" s="21">
        <v>3343313.65</v>
      </c>
      <c r="L89" s="21">
        <v>6580899.2599999998</v>
      </c>
      <c r="M89" s="25">
        <f t="shared" si="34"/>
        <v>-0.49196705223535059</v>
      </c>
      <c r="N89" s="10"/>
      <c r="R89" s="2"/>
    </row>
    <row r="90" spans="1:18" ht="15.75" customHeight="1" thickBot="1" x14ac:dyDescent="0.3">
      <c r="A90" s="19"/>
      <c r="B90" s="45"/>
      <c r="C90" s="21"/>
      <c r="D90" s="21"/>
      <c r="E90" s="23"/>
      <c r="F90" s="21"/>
      <c r="G90" s="21"/>
      <c r="H90" s="23"/>
      <c r="I90" s="24"/>
      <c r="J90" s="24"/>
      <c r="K90" s="21"/>
      <c r="L90" s="21"/>
      <c r="M90" s="25"/>
      <c r="N90" s="10"/>
      <c r="R90" s="2"/>
    </row>
    <row r="91" spans="1:18" ht="17.45" customHeight="1" thickTop="1" thickBot="1" x14ac:dyDescent="0.3">
      <c r="A91" s="39" t="s">
        <v>14</v>
      </c>
      <c r="B91" s="52"/>
      <c r="C91" s="47">
        <f>SUM(C81:C90)</f>
        <v>1263452</v>
      </c>
      <c r="D91" s="48">
        <f>SUM(D81:D90)</f>
        <v>1387727</v>
      </c>
      <c r="E91" s="280">
        <f>(+C91-D91)/D91</f>
        <v>-8.9552916387733328E-2</v>
      </c>
      <c r="F91" s="48">
        <f>SUM(F81:F90)</f>
        <v>651910</v>
      </c>
      <c r="G91" s="47">
        <f>SUM(G81:G90)</f>
        <v>713612</v>
      </c>
      <c r="H91" s="53">
        <f>(+F91-G91)/G91</f>
        <v>-8.6464353177917411E-2</v>
      </c>
      <c r="I91" s="51">
        <f>K91/C91</f>
        <v>36.858835460310324</v>
      </c>
      <c r="J91" s="50">
        <f>K91/F91</f>
        <v>71.435273856820729</v>
      </c>
      <c r="K91" s="47">
        <f>SUM(K81:K90)</f>
        <v>46569369.380000003</v>
      </c>
      <c r="L91" s="48">
        <f>SUM(L81:L90)</f>
        <v>49190286.169999994</v>
      </c>
      <c r="M91" s="44">
        <f>(+K91-L91)/L91</f>
        <v>-5.3281186064707782E-2</v>
      </c>
      <c r="N91" s="10"/>
      <c r="R91" s="2"/>
    </row>
    <row r="92" spans="1:18" ht="15.75" customHeight="1" thickTop="1" x14ac:dyDescent="0.25">
      <c r="A92" s="19"/>
      <c r="B92" s="45"/>
      <c r="C92" s="21"/>
      <c r="D92" s="21"/>
      <c r="E92" s="23"/>
      <c r="F92" s="21"/>
      <c r="G92" s="21"/>
      <c r="H92" s="23"/>
      <c r="I92" s="24"/>
      <c r="J92" s="24"/>
      <c r="K92" s="21"/>
      <c r="L92" s="21"/>
      <c r="M92" s="25"/>
      <c r="N92" s="10"/>
      <c r="R92" s="2"/>
    </row>
    <row r="93" spans="1:18" ht="15.75" customHeight="1" x14ac:dyDescent="0.25">
      <c r="A93" s="19" t="s">
        <v>67</v>
      </c>
      <c r="B93" s="20">
        <f>DATE(2019,7,1)</f>
        <v>43647</v>
      </c>
      <c r="C93" s="21">
        <v>323721</v>
      </c>
      <c r="D93" s="21">
        <v>388346</v>
      </c>
      <c r="E93" s="23">
        <f t="shared" ref="E93:E101" si="35">(+C93-D93)/D93</f>
        <v>-0.16641088101847321</v>
      </c>
      <c r="F93" s="21">
        <f>+C93-139052</f>
        <v>184669</v>
      </c>
      <c r="G93" s="21">
        <f>+D93-165497</f>
        <v>222849</v>
      </c>
      <c r="H93" s="23">
        <f t="shared" ref="H93:H101" si="36">(+F93-G93)/G93</f>
        <v>-0.17132677283721265</v>
      </c>
      <c r="I93" s="24">
        <f t="shared" ref="I93:I101" si="37">K93/C93</f>
        <v>38.806533280201158</v>
      </c>
      <c r="J93" s="24">
        <f t="shared" ref="J93:J101" si="38">K93/F93</f>
        <v>68.0270633403549</v>
      </c>
      <c r="K93" s="21">
        <v>12562489.76</v>
      </c>
      <c r="L93" s="21">
        <v>13426296.74</v>
      </c>
      <c r="M93" s="25">
        <f t="shared" ref="M93:M101" si="39">(+K93-L93)/L93</f>
        <v>-6.4336949847572072E-2</v>
      </c>
      <c r="N93" s="10"/>
      <c r="R93" s="2"/>
    </row>
    <row r="94" spans="1:18" ht="15.75" customHeight="1" x14ac:dyDescent="0.25">
      <c r="A94" s="19"/>
      <c r="B94" s="20">
        <f>DATE(2019,8,1)</f>
        <v>43678</v>
      </c>
      <c r="C94" s="21">
        <v>324702</v>
      </c>
      <c r="D94" s="21">
        <v>374981</v>
      </c>
      <c r="E94" s="23">
        <f t="shared" si="35"/>
        <v>-0.13408412692909774</v>
      </c>
      <c r="F94" s="21">
        <f>+C94-140464</f>
        <v>184238</v>
      </c>
      <c r="G94" s="21">
        <f>+D94-161656</f>
        <v>213325</v>
      </c>
      <c r="H94" s="23">
        <f t="shared" si="36"/>
        <v>-0.13635063869682409</v>
      </c>
      <c r="I94" s="24">
        <f t="shared" si="37"/>
        <v>39.773520366366697</v>
      </c>
      <c r="J94" s="24">
        <f t="shared" si="38"/>
        <v>70.097057121766412</v>
      </c>
      <c r="K94" s="21">
        <v>12914541.609999999</v>
      </c>
      <c r="L94" s="21">
        <v>14006614.060000001</v>
      </c>
      <c r="M94" s="25">
        <f t="shared" si="39"/>
        <v>-7.7968340194275412E-2</v>
      </c>
      <c r="N94" s="10"/>
      <c r="R94" s="2"/>
    </row>
    <row r="95" spans="1:18" ht="15.75" customHeight="1" x14ac:dyDescent="0.25">
      <c r="A95" s="19"/>
      <c r="B95" s="20">
        <f>DATE(2019,9,1)</f>
        <v>43709</v>
      </c>
      <c r="C95" s="21">
        <v>300781</v>
      </c>
      <c r="D95" s="21">
        <v>360336</v>
      </c>
      <c r="E95" s="23">
        <f t="shared" si="35"/>
        <v>-0.16527629767772301</v>
      </c>
      <c r="F95" s="21">
        <f>+C95-129541</f>
        <v>171240</v>
      </c>
      <c r="G95" s="21">
        <f>+D95-155587</f>
        <v>204749</v>
      </c>
      <c r="H95" s="23">
        <f t="shared" si="36"/>
        <v>-0.16365891896907922</v>
      </c>
      <c r="I95" s="24">
        <f t="shared" si="37"/>
        <v>40.861201671648139</v>
      </c>
      <c r="J95" s="24">
        <f t="shared" si="38"/>
        <v>71.772209180098102</v>
      </c>
      <c r="K95" s="21">
        <v>12290273.1</v>
      </c>
      <c r="L95" s="21">
        <v>13292569.289999999</v>
      </c>
      <c r="M95" s="25">
        <f t="shared" si="39"/>
        <v>-7.5402743302156572E-2</v>
      </c>
      <c r="N95" s="10"/>
      <c r="R95" s="2"/>
    </row>
    <row r="96" spans="1:18" ht="15.75" customHeight="1" x14ac:dyDescent="0.25">
      <c r="A96" s="19"/>
      <c r="B96" s="20">
        <f>DATE(2019,10,1)</f>
        <v>43739</v>
      </c>
      <c r="C96" s="21">
        <v>283539</v>
      </c>
      <c r="D96" s="21">
        <v>333769</v>
      </c>
      <c r="E96" s="23">
        <f t="shared" si="35"/>
        <v>-0.15049330525003821</v>
      </c>
      <c r="F96" s="21">
        <f>+C96-124663</f>
        <v>158876</v>
      </c>
      <c r="G96" s="21">
        <f>+D96-146853</f>
        <v>186916</v>
      </c>
      <c r="H96" s="23">
        <f t="shared" si="36"/>
        <v>-0.15001390999165401</v>
      </c>
      <c r="I96" s="24">
        <f t="shared" si="37"/>
        <v>41.993958714674172</v>
      </c>
      <c r="J96" s="24">
        <f t="shared" si="38"/>
        <v>74.944768624587738</v>
      </c>
      <c r="K96" s="21">
        <v>11906925.060000001</v>
      </c>
      <c r="L96" s="21">
        <v>13297492.66</v>
      </c>
      <c r="M96" s="25">
        <f t="shared" si="39"/>
        <v>-0.10457366930405958</v>
      </c>
      <c r="N96" s="10"/>
      <c r="R96" s="2"/>
    </row>
    <row r="97" spans="1:18" ht="15.75" customHeight="1" x14ac:dyDescent="0.25">
      <c r="A97" s="19"/>
      <c r="B97" s="20">
        <f>DATE(2019,11,1)</f>
        <v>43770</v>
      </c>
      <c r="C97" s="21">
        <v>291021</v>
      </c>
      <c r="D97" s="21">
        <v>328789</v>
      </c>
      <c r="E97" s="23">
        <f t="shared" si="35"/>
        <v>-0.11487002302388462</v>
      </c>
      <c r="F97" s="21">
        <f>+C97-133617</f>
        <v>157404</v>
      </c>
      <c r="G97" s="21">
        <f>+D97-148027</f>
        <v>180762</v>
      </c>
      <c r="H97" s="23">
        <f t="shared" si="36"/>
        <v>-0.12921963687058122</v>
      </c>
      <c r="I97" s="24">
        <f t="shared" si="37"/>
        <v>41.607863178258611</v>
      </c>
      <c r="J97" s="24">
        <f t="shared" si="38"/>
        <v>76.927917651393855</v>
      </c>
      <c r="K97" s="21">
        <v>12108761.949999999</v>
      </c>
      <c r="L97" s="21">
        <v>12818002.74</v>
      </c>
      <c r="M97" s="25">
        <f t="shared" si="39"/>
        <v>-5.5331614791026405E-2</v>
      </c>
      <c r="N97" s="10"/>
      <c r="R97" s="2"/>
    </row>
    <row r="98" spans="1:18" ht="15.75" customHeight="1" x14ac:dyDescent="0.25">
      <c r="A98" s="19"/>
      <c r="B98" s="20">
        <f>DATE(2019,12,1)</f>
        <v>43800</v>
      </c>
      <c r="C98" s="21">
        <v>314814</v>
      </c>
      <c r="D98" s="21">
        <v>359368</v>
      </c>
      <c r="E98" s="23">
        <f t="shared" si="35"/>
        <v>-0.12397876271676944</v>
      </c>
      <c r="F98" s="21">
        <f>+C98-147218</f>
        <v>167596</v>
      </c>
      <c r="G98" s="21">
        <f>+D98-161628</f>
        <v>197740</v>
      </c>
      <c r="H98" s="23">
        <f t="shared" si="36"/>
        <v>-0.15244260139577223</v>
      </c>
      <c r="I98" s="24">
        <f t="shared" si="37"/>
        <v>40.43947861276817</v>
      </c>
      <c r="J98" s="24">
        <f t="shared" si="38"/>
        <v>75.961920451562094</v>
      </c>
      <c r="K98" s="21">
        <v>12730914.02</v>
      </c>
      <c r="L98" s="21">
        <v>13957615.710000001</v>
      </c>
      <c r="M98" s="25">
        <f t="shared" si="39"/>
        <v>-8.7887624612069309E-2</v>
      </c>
      <c r="N98" s="10"/>
      <c r="R98" s="2"/>
    </row>
    <row r="99" spans="1:18" ht="15.75" customHeight="1" x14ac:dyDescent="0.25">
      <c r="A99" s="19"/>
      <c r="B99" s="20">
        <f>DATE(2020,1,1)</f>
        <v>43831</v>
      </c>
      <c r="C99" s="21">
        <v>285267</v>
      </c>
      <c r="D99" s="21">
        <v>297438</v>
      </c>
      <c r="E99" s="23">
        <f t="shared" si="35"/>
        <v>-4.0919452121114315E-2</v>
      </c>
      <c r="F99" s="21">
        <f>+C99-129272</f>
        <v>155995</v>
      </c>
      <c r="G99" s="21">
        <f>+D99-131100</f>
        <v>166338</v>
      </c>
      <c r="H99" s="23">
        <f t="shared" si="36"/>
        <v>-6.2180620183000877E-2</v>
      </c>
      <c r="I99" s="24">
        <f t="shared" si="37"/>
        <v>43.931008143248256</v>
      </c>
      <c r="J99" s="24">
        <f t="shared" si="38"/>
        <v>80.33633706208532</v>
      </c>
      <c r="K99" s="21">
        <v>12532066.9</v>
      </c>
      <c r="L99" s="21">
        <v>12493875.960000001</v>
      </c>
      <c r="M99" s="25">
        <f t="shared" si="39"/>
        <v>3.0567727839039211E-3</v>
      </c>
      <c r="N99" s="10"/>
      <c r="R99" s="2"/>
    </row>
    <row r="100" spans="1:18" ht="15.75" customHeight="1" x14ac:dyDescent="0.25">
      <c r="A100" s="19"/>
      <c r="B100" s="20">
        <f>DATE(2020,2,1)</f>
        <v>43862</v>
      </c>
      <c r="C100" s="21">
        <v>302609</v>
      </c>
      <c r="D100" s="21">
        <v>298566</v>
      </c>
      <c r="E100" s="23">
        <f t="shared" si="35"/>
        <v>1.3541394532532171E-2</v>
      </c>
      <c r="F100" s="21">
        <f>+C100-136078</f>
        <v>166531</v>
      </c>
      <c r="G100" s="21">
        <f>+D100-133131</f>
        <v>165435</v>
      </c>
      <c r="H100" s="23">
        <f t="shared" si="36"/>
        <v>6.6249584428929795E-3</v>
      </c>
      <c r="I100" s="24">
        <f t="shared" si="37"/>
        <v>46.672832268703175</v>
      </c>
      <c r="J100" s="24">
        <f t="shared" si="38"/>
        <v>84.81075055094847</v>
      </c>
      <c r="K100" s="21">
        <v>14123619.1</v>
      </c>
      <c r="L100" s="21">
        <v>12250357.039999999</v>
      </c>
      <c r="M100" s="25">
        <f t="shared" si="39"/>
        <v>0.15291489496048197</v>
      </c>
      <c r="N100" s="10"/>
      <c r="R100" s="2"/>
    </row>
    <row r="101" spans="1:18" ht="15.75" customHeight="1" x14ac:dyDescent="0.25">
      <c r="A101" s="19"/>
      <c r="B101" s="20">
        <f>DATE(2020,3,1)</f>
        <v>43891</v>
      </c>
      <c r="C101" s="21">
        <v>159473</v>
      </c>
      <c r="D101" s="21">
        <v>375555</v>
      </c>
      <c r="E101" s="23">
        <f t="shared" si="35"/>
        <v>-0.57536712332414697</v>
      </c>
      <c r="F101" s="21">
        <f>+C101-71406</f>
        <v>88067</v>
      </c>
      <c r="G101" s="21">
        <f>+D101-165988</f>
        <v>209567</v>
      </c>
      <c r="H101" s="23">
        <f t="shared" si="36"/>
        <v>-0.57976685260561056</v>
      </c>
      <c r="I101" s="24">
        <f t="shared" si="37"/>
        <v>45.595389877910371</v>
      </c>
      <c r="J101" s="24">
        <f t="shared" si="38"/>
        <v>82.564792828187635</v>
      </c>
      <c r="K101" s="21">
        <v>7271233.6100000003</v>
      </c>
      <c r="L101" s="21">
        <v>15846578.48</v>
      </c>
      <c r="M101" s="25">
        <f t="shared" si="39"/>
        <v>-0.54114803904344155</v>
      </c>
      <c r="N101" s="10"/>
      <c r="R101" s="2"/>
    </row>
    <row r="102" spans="1:18" ht="15.75" customHeight="1" thickBot="1" x14ac:dyDescent="0.3">
      <c r="A102" s="19"/>
      <c r="B102" s="45"/>
      <c r="C102" s="21"/>
      <c r="D102" s="21"/>
      <c r="E102" s="23"/>
      <c r="F102" s="21"/>
      <c r="G102" s="21"/>
      <c r="H102" s="23"/>
      <c r="I102" s="24"/>
      <c r="J102" s="24"/>
      <c r="K102" s="21"/>
      <c r="L102" s="21"/>
      <c r="M102" s="25"/>
      <c r="N102" s="10"/>
      <c r="R102" s="2"/>
    </row>
    <row r="103" spans="1:18" ht="17.25" thickTop="1" thickBot="1" x14ac:dyDescent="0.3">
      <c r="A103" s="39" t="s">
        <v>14</v>
      </c>
      <c r="B103" s="40"/>
      <c r="C103" s="41">
        <f>SUM(C93:C102)</f>
        <v>2585927</v>
      </c>
      <c r="D103" s="41">
        <f>SUM(D93:D102)</f>
        <v>3117148</v>
      </c>
      <c r="E103" s="279">
        <f>(+C103-D103)/D103</f>
        <v>-0.17041892139866313</v>
      </c>
      <c r="F103" s="41">
        <f>SUM(F93:F102)</f>
        <v>1434616</v>
      </c>
      <c r="G103" s="41">
        <f>SUM(G93:G102)</f>
        <v>1747681</v>
      </c>
      <c r="H103" s="42">
        <f>(+F103-G103)/G103</f>
        <v>-0.17913166075502338</v>
      </c>
      <c r="I103" s="43">
        <f>K103/C103</f>
        <v>41.934990860144154</v>
      </c>
      <c r="J103" s="43">
        <f>K103/F103</f>
        <v>75.588746472923759</v>
      </c>
      <c r="K103" s="41">
        <f>SUM(K93:K102)</f>
        <v>108440825.11</v>
      </c>
      <c r="L103" s="41">
        <f>SUM(L93:L102)</f>
        <v>121389402.67999999</v>
      </c>
      <c r="M103" s="44">
        <f>(+K103-L103)/L103</f>
        <v>-0.10666975274715138</v>
      </c>
      <c r="N103" s="10"/>
      <c r="R103" s="2"/>
    </row>
    <row r="104" spans="1:18" ht="15.75" customHeight="1" thickTop="1" x14ac:dyDescent="0.2">
      <c r="A104" s="54"/>
      <c r="B104" s="55"/>
      <c r="C104" s="55"/>
      <c r="D104" s="55"/>
      <c r="E104" s="56"/>
      <c r="F104" s="55"/>
      <c r="G104" s="55"/>
      <c r="H104" s="56"/>
      <c r="I104" s="55"/>
      <c r="J104" s="55"/>
      <c r="K104" s="196"/>
      <c r="L104" s="196"/>
      <c r="M104" s="57"/>
      <c r="N104" s="10"/>
      <c r="R104" s="2"/>
    </row>
    <row r="105" spans="1:18" ht="15.75" customHeight="1" x14ac:dyDescent="0.25">
      <c r="A105" s="19" t="s">
        <v>18</v>
      </c>
      <c r="B105" s="20">
        <f>DATE(2019,7,1)</f>
        <v>43647</v>
      </c>
      <c r="C105" s="21">
        <v>366609</v>
      </c>
      <c r="D105" s="21">
        <v>413730</v>
      </c>
      <c r="E105" s="23">
        <f t="shared" ref="E105:E113" si="40">(+C105-D105)/D105</f>
        <v>-0.11389311870060184</v>
      </c>
      <c r="F105" s="21">
        <f>+C105-178251</f>
        <v>188358</v>
      </c>
      <c r="G105" s="21">
        <f>+D105-202461</f>
        <v>211269</v>
      </c>
      <c r="H105" s="23">
        <f t="shared" ref="H105:H113" si="41">(+F105-G105)/G105</f>
        <v>-0.10844468426508386</v>
      </c>
      <c r="I105" s="24">
        <f t="shared" ref="I105:I113" si="42">K105/C105</f>
        <v>42.795938015706106</v>
      </c>
      <c r="J105" s="24">
        <f t="shared" ref="J105:J113" si="43">K105/F105</f>
        <v>83.295511950647168</v>
      </c>
      <c r="K105" s="21">
        <v>15689376.039999999</v>
      </c>
      <c r="L105" s="21">
        <v>17628524.710000001</v>
      </c>
      <c r="M105" s="25">
        <f t="shared" ref="M105:M113" si="44">(+K105-L105)/L105</f>
        <v>-0.11000062126015545</v>
      </c>
      <c r="N105" s="10"/>
      <c r="R105" s="2"/>
    </row>
    <row r="106" spans="1:18" ht="15.75" customHeight="1" x14ac:dyDescent="0.25">
      <c r="A106" s="19"/>
      <c r="B106" s="20">
        <f>DATE(2019,8,1)</f>
        <v>43678</v>
      </c>
      <c r="C106" s="21">
        <v>384874</v>
      </c>
      <c r="D106" s="21">
        <v>405657</v>
      </c>
      <c r="E106" s="23">
        <f t="shared" si="40"/>
        <v>-5.1232938171903851E-2</v>
      </c>
      <c r="F106" s="21">
        <f>+C106-186167</f>
        <v>198707</v>
      </c>
      <c r="G106" s="21">
        <f>+D106-195459</f>
        <v>210198</v>
      </c>
      <c r="H106" s="23">
        <f t="shared" si="41"/>
        <v>-5.4667503972445027E-2</v>
      </c>
      <c r="I106" s="24">
        <f t="shared" si="42"/>
        <v>43.124586955730962</v>
      </c>
      <c r="J106" s="24">
        <f t="shared" si="43"/>
        <v>83.527667772146927</v>
      </c>
      <c r="K106" s="21">
        <v>16597532.279999999</v>
      </c>
      <c r="L106" s="21">
        <v>17799458.530000001</v>
      </c>
      <c r="M106" s="25">
        <f t="shared" si="44"/>
        <v>-6.7526000747394746E-2</v>
      </c>
      <c r="N106" s="10"/>
      <c r="R106" s="2"/>
    </row>
    <row r="107" spans="1:18" ht="15.75" customHeight="1" x14ac:dyDescent="0.25">
      <c r="A107" s="19"/>
      <c r="B107" s="20">
        <f>DATE(2019,9,1)</f>
        <v>43709</v>
      </c>
      <c r="C107" s="21">
        <v>348168</v>
      </c>
      <c r="D107" s="21">
        <v>386512</v>
      </c>
      <c r="E107" s="23">
        <f t="shared" si="40"/>
        <v>-9.9205199321107759E-2</v>
      </c>
      <c r="F107" s="21">
        <f>+C107-163347</f>
        <v>184821</v>
      </c>
      <c r="G107" s="21">
        <f>+D107-188889</f>
        <v>197623</v>
      </c>
      <c r="H107" s="23">
        <f t="shared" si="41"/>
        <v>-6.4779909221092682E-2</v>
      </c>
      <c r="I107" s="24">
        <f t="shared" si="42"/>
        <v>44.421932601502725</v>
      </c>
      <c r="J107" s="24">
        <f t="shared" si="43"/>
        <v>83.682565455224236</v>
      </c>
      <c r="K107" s="21">
        <v>15466295.43</v>
      </c>
      <c r="L107" s="21">
        <v>16599689.699999999</v>
      </c>
      <c r="M107" s="25">
        <f t="shared" si="44"/>
        <v>-6.827803955877558E-2</v>
      </c>
      <c r="N107" s="10"/>
      <c r="R107" s="2"/>
    </row>
    <row r="108" spans="1:18" ht="15.75" customHeight="1" x14ac:dyDescent="0.25">
      <c r="A108" s="19"/>
      <c r="B108" s="20">
        <f>DATE(2019,10,1)</f>
        <v>43739</v>
      </c>
      <c r="C108" s="21">
        <v>347400</v>
      </c>
      <c r="D108" s="21">
        <v>353857</v>
      </c>
      <c r="E108" s="23">
        <f t="shared" si="40"/>
        <v>-1.8247484153203129E-2</v>
      </c>
      <c r="F108" s="21">
        <f>+C108-164019</f>
        <v>183381</v>
      </c>
      <c r="G108" s="21">
        <f>+D108-169336</f>
        <v>184521</v>
      </c>
      <c r="H108" s="23">
        <f t="shared" si="41"/>
        <v>-6.178158583575853E-3</v>
      </c>
      <c r="I108" s="24">
        <f t="shared" si="42"/>
        <v>47.03465071963155</v>
      </c>
      <c r="J108" s="24">
        <f t="shared" si="43"/>
        <v>89.103220399059879</v>
      </c>
      <c r="K108" s="21">
        <v>16339837.66</v>
      </c>
      <c r="L108" s="21">
        <v>15074320.550000001</v>
      </c>
      <c r="M108" s="25">
        <f t="shared" si="44"/>
        <v>8.3951850818244633E-2</v>
      </c>
      <c r="N108" s="10"/>
      <c r="R108" s="2"/>
    </row>
    <row r="109" spans="1:18" ht="15.75" customHeight="1" x14ac:dyDescent="0.25">
      <c r="A109" s="19"/>
      <c r="B109" s="20">
        <f>DATE(2019,11,1)</f>
        <v>43770</v>
      </c>
      <c r="C109" s="21">
        <v>367906</v>
      </c>
      <c r="D109" s="21">
        <v>343012</v>
      </c>
      <c r="E109" s="23">
        <f t="shared" si="40"/>
        <v>7.2574720417944563E-2</v>
      </c>
      <c r="F109" s="21">
        <f>+C109-173004</f>
        <v>194902</v>
      </c>
      <c r="G109" s="21">
        <f>+D109-162356</f>
        <v>180656</v>
      </c>
      <c r="H109" s="23">
        <f t="shared" si="41"/>
        <v>7.8857054291028253E-2</v>
      </c>
      <c r="I109" s="24">
        <f t="shared" si="42"/>
        <v>45.065145172951787</v>
      </c>
      <c r="J109" s="24">
        <f t="shared" si="43"/>
        <v>85.06704548952807</v>
      </c>
      <c r="K109" s="21">
        <v>16579737.300000001</v>
      </c>
      <c r="L109" s="21">
        <v>14816733.57</v>
      </c>
      <c r="M109" s="25">
        <f t="shared" si="44"/>
        <v>0.118987341013516</v>
      </c>
      <c r="N109" s="10"/>
      <c r="R109" s="2"/>
    </row>
    <row r="110" spans="1:18" ht="15.75" customHeight="1" x14ac:dyDescent="0.25">
      <c r="A110" s="19"/>
      <c r="B110" s="20">
        <f>DATE(2019,12,1)</f>
        <v>43800</v>
      </c>
      <c r="C110" s="21">
        <v>375779</v>
      </c>
      <c r="D110" s="21">
        <v>404087</v>
      </c>
      <c r="E110" s="23">
        <f t="shared" si="40"/>
        <v>-7.0054220996963526E-2</v>
      </c>
      <c r="F110" s="21">
        <f>+C110-181369</f>
        <v>194410</v>
      </c>
      <c r="G110" s="21">
        <f>+D110-195394</f>
        <v>208693</v>
      </c>
      <c r="H110" s="23">
        <f t="shared" si="41"/>
        <v>-6.844024476144385E-2</v>
      </c>
      <c r="I110" s="24">
        <f t="shared" si="42"/>
        <v>41.740704376774644</v>
      </c>
      <c r="J110" s="24">
        <f t="shared" si="43"/>
        <v>80.681447199218155</v>
      </c>
      <c r="K110" s="21">
        <v>15685280.15</v>
      </c>
      <c r="L110" s="21">
        <v>16895167.059999999</v>
      </c>
      <c r="M110" s="25">
        <f t="shared" si="44"/>
        <v>-7.1611420337148082E-2</v>
      </c>
      <c r="N110" s="10"/>
      <c r="R110" s="2"/>
    </row>
    <row r="111" spans="1:18" ht="15.75" customHeight="1" x14ac:dyDescent="0.25">
      <c r="A111" s="19"/>
      <c r="B111" s="20">
        <f>DATE(2020,1,1)</f>
        <v>43831</v>
      </c>
      <c r="C111" s="21">
        <v>330613</v>
      </c>
      <c r="D111" s="21">
        <v>340841</v>
      </c>
      <c r="E111" s="23">
        <f t="shared" si="40"/>
        <v>-3.0008126956557458E-2</v>
      </c>
      <c r="F111" s="21">
        <f>+C111-158076</f>
        <v>172537</v>
      </c>
      <c r="G111" s="21">
        <f>+D111-167445</f>
        <v>173396</v>
      </c>
      <c r="H111" s="23">
        <f t="shared" si="41"/>
        <v>-4.9539781771205799E-3</v>
      </c>
      <c r="I111" s="24">
        <f t="shared" si="42"/>
        <v>45.566521552389048</v>
      </c>
      <c r="J111" s="24">
        <f t="shared" si="43"/>
        <v>87.313934924103236</v>
      </c>
      <c r="K111" s="21">
        <v>15064884.390000001</v>
      </c>
      <c r="L111" s="21">
        <v>14098180.859999999</v>
      </c>
      <c r="M111" s="25">
        <f t="shared" si="44"/>
        <v>6.8569380659796786E-2</v>
      </c>
      <c r="N111" s="10"/>
      <c r="R111" s="2"/>
    </row>
    <row r="112" spans="1:18" ht="15.75" customHeight="1" x14ac:dyDescent="0.25">
      <c r="A112" s="19"/>
      <c r="B112" s="20">
        <f>DATE(2020,2,1)</f>
        <v>43862</v>
      </c>
      <c r="C112" s="21">
        <v>374709</v>
      </c>
      <c r="D112" s="21">
        <v>343444</v>
      </c>
      <c r="E112" s="23">
        <f t="shared" si="40"/>
        <v>9.1033763874168713E-2</v>
      </c>
      <c r="F112" s="21">
        <f>+C112-179401</f>
        <v>195308</v>
      </c>
      <c r="G112" s="21">
        <f>+D112-166468</f>
        <v>176976</v>
      </c>
      <c r="H112" s="23">
        <f t="shared" si="41"/>
        <v>0.10358466684748215</v>
      </c>
      <c r="I112" s="24">
        <f t="shared" si="42"/>
        <v>45.553946235612173</v>
      </c>
      <c r="J112" s="24">
        <f t="shared" si="43"/>
        <v>87.397718680238398</v>
      </c>
      <c r="K112" s="21">
        <v>17069473.640000001</v>
      </c>
      <c r="L112" s="21">
        <v>14934409.32</v>
      </c>
      <c r="M112" s="25">
        <f t="shared" si="44"/>
        <v>0.14296275629333027</v>
      </c>
      <c r="N112" s="10"/>
      <c r="R112" s="2"/>
    </row>
    <row r="113" spans="1:18" ht="15.75" customHeight="1" x14ac:dyDescent="0.25">
      <c r="A113" s="19"/>
      <c r="B113" s="20">
        <f>DATE(2020,3,1)</f>
        <v>43891</v>
      </c>
      <c r="C113" s="21">
        <v>181197</v>
      </c>
      <c r="D113" s="21">
        <v>433827</v>
      </c>
      <c r="E113" s="23">
        <f t="shared" si="40"/>
        <v>-0.58232890069082832</v>
      </c>
      <c r="F113" s="21">
        <f>+C113-86940</f>
        <v>94257</v>
      </c>
      <c r="G113" s="21">
        <f>+D113-215065</f>
        <v>218762</v>
      </c>
      <c r="H113" s="23">
        <f t="shared" si="41"/>
        <v>-0.56913449319351628</v>
      </c>
      <c r="I113" s="24">
        <f t="shared" si="42"/>
        <v>47.22670005574043</v>
      </c>
      <c r="J113" s="24">
        <f t="shared" si="43"/>
        <v>90.78727701921342</v>
      </c>
      <c r="K113" s="21">
        <v>8557336.3699999992</v>
      </c>
      <c r="L113" s="21">
        <v>18667713.699999999</v>
      </c>
      <c r="M113" s="25">
        <f t="shared" si="44"/>
        <v>-0.54159697820949548</v>
      </c>
      <c r="N113" s="10"/>
      <c r="R113" s="2"/>
    </row>
    <row r="114" spans="1:18" ht="15.75" customHeight="1" thickBot="1" x14ac:dyDescent="0.3">
      <c r="A114" s="19"/>
      <c r="B114" s="45"/>
      <c r="C114" s="21"/>
      <c r="D114" s="21"/>
      <c r="E114" s="23"/>
      <c r="F114" s="21"/>
      <c r="G114" s="21"/>
      <c r="H114" s="23"/>
      <c r="I114" s="24"/>
      <c r="J114" s="24"/>
      <c r="K114" s="21"/>
      <c r="L114" s="21"/>
      <c r="M114" s="25"/>
      <c r="N114" s="10"/>
      <c r="R114" s="2"/>
    </row>
    <row r="115" spans="1:18" ht="17.25" thickTop="1" thickBot="1" x14ac:dyDescent="0.3">
      <c r="A115" s="39" t="s">
        <v>14</v>
      </c>
      <c r="B115" s="40"/>
      <c r="C115" s="41">
        <f>SUM(C105:C114)</f>
        <v>3077255</v>
      </c>
      <c r="D115" s="41">
        <f>SUM(D105:D114)</f>
        <v>3424967</v>
      </c>
      <c r="E115" s="279">
        <f>(+C115-D115)/D115</f>
        <v>-0.10152273000002628</v>
      </c>
      <c r="F115" s="41">
        <f>SUM(F105:F114)</f>
        <v>1606681</v>
      </c>
      <c r="G115" s="41">
        <f>SUM(G105:G114)</f>
        <v>1762094</v>
      </c>
      <c r="H115" s="42">
        <f>(+F115-G115)/G115</f>
        <v>-8.8197905446587982E-2</v>
      </c>
      <c r="I115" s="43">
        <f>K115/C115</f>
        <v>44.536365449077181</v>
      </c>
      <c r="J115" s="43">
        <f>K115/F115</f>
        <v>85.299915328556196</v>
      </c>
      <c r="K115" s="41">
        <f>SUM(K105:K114)</f>
        <v>137049753.25999999</v>
      </c>
      <c r="L115" s="41">
        <f>SUM(L105:L114)</f>
        <v>146514198</v>
      </c>
      <c r="M115" s="44">
        <f>(+K115-L115)/L115</f>
        <v>-6.4597457920085047E-2</v>
      </c>
      <c r="N115" s="10"/>
      <c r="R115" s="2"/>
    </row>
    <row r="116" spans="1:18" ht="15.75" customHeight="1" thickTop="1" x14ac:dyDescent="0.2">
      <c r="A116" s="54"/>
      <c r="B116" s="55"/>
      <c r="C116" s="55"/>
      <c r="D116" s="55"/>
      <c r="E116" s="56"/>
      <c r="F116" s="55"/>
      <c r="G116" s="55"/>
      <c r="H116" s="56"/>
      <c r="I116" s="55"/>
      <c r="J116" s="55"/>
      <c r="K116" s="196"/>
      <c r="L116" s="196"/>
      <c r="M116" s="57"/>
      <c r="N116" s="10"/>
      <c r="R116" s="2"/>
    </row>
    <row r="117" spans="1:18" ht="15.75" customHeight="1" x14ac:dyDescent="0.25">
      <c r="A117" s="19" t="s">
        <v>58</v>
      </c>
      <c r="B117" s="20">
        <f>DATE(2019,7,1)</f>
        <v>43647</v>
      </c>
      <c r="C117" s="21">
        <v>420442</v>
      </c>
      <c r="D117" s="21">
        <v>437171</v>
      </c>
      <c r="E117" s="23">
        <f t="shared" ref="E117:E125" si="45">(+C117-D117)/D117</f>
        <v>-3.8266490686710695E-2</v>
      </c>
      <c r="F117" s="21">
        <f>+C117-190554</f>
        <v>229888</v>
      </c>
      <c r="G117" s="21">
        <f>+D117-202695</f>
        <v>234476</v>
      </c>
      <c r="H117" s="23">
        <f t="shared" ref="H117:H125" si="46">(+F117-G117)/G117</f>
        <v>-1.9567034579231989E-2</v>
      </c>
      <c r="I117" s="24">
        <f t="shared" ref="I117:I125" si="47">K117/C117</f>
        <v>43.352571341588138</v>
      </c>
      <c r="J117" s="24">
        <f t="shared" ref="J117:J125" si="48">K117/F117</f>
        <v>79.287486950167036</v>
      </c>
      <c r="K117" s="21">
        <v>18227241.800000001</v>
      </c>
      <c r="L117" s="21">
        <v>19587162.530000001</v>
      </c>
      <c r="M117" s="25">
        <f t="shared" ref="M117:M125" si="49">(+K117-L117)/L117</f>
        <v>-6.9429184953008122E-2</v>
      </c>
      <c r="N117" s="10"/>
      <c r="R117" s="2"/>
    </row>
    <row r="118" spans="1:18" ht="15.75" customHeight="1" x14ac:dyDescent="0.25">
      <c r="A118" s="19"/>
      <c r="B118" s="20">
        <f>DATE(2019,8,1)</f>
        <v>43678</v>
      </c>
      <c r="C118" s="21">
        <v>440157</v>
      </c>
      <c r="D118" s="21">
        <v>428435</v>
      </c>
      <c r="E118" s="23">
        <f t="shared" si="45"/>
        <v>2.7360042947004795E-2</v>
      </c>
      <c r="F118" s="21">
        <f>+C118-199137</f>
        <v>241020</v>
      </c>
      <c r="G118" s="21">
        <f>+D118-198491</f>
        <v>229944</v>
      </c>
      <c r="H118" s="23">
        <f t="shared" si="46"/>
        <v>4.8168249660786977E-2</v>
      </c>
      <c r="I118" s="24">
        <f t="shared" si="47"/>
        <v>44.349903102756521</v>
      </c>
      <c r="J118" s="24">
        <f t="shared" si="48"/>
        <v>80.992947888142069</v>
      </c>
      <c r="K118" s="21">
        <v>19520920.300000001</v>
      </c>
      <c r="L118" s="21">
        <v>19072987.460000001</v>
      </c>
      <c r="M118" s="25">
        <f t="shared" si="49"/>
        <v>2.3485195538423525E-2</v>
      </c>
      <c r="N118" s="10"/>
      <c r="R118" s="2"/>
    </row>
    <row r="119" spans="1:18" ht="15.75" customHeight="1" x14ac:dyDescent="0.25">
      <c r="A119" s="19"/>
      <c r="B119" s="20">
        <f>DATE(2019,9,1)</f>
        <v>43709</v>
      </c>
      <c r="C119" s="21">
        <v>423584</v>
      </c>
      <c r="D119" s="21">
        <v>430488</v>
      </c>
      <c r="E119" s="23">
        <f t="shared" si="45"/>
        <v>-1.6037613127427477E-2</v>
      </c>
      <c r="F119" s="21">
        <f>+C119-190859</f>
        <v>232725</v>
      </c>
      <c r="G119" s="21">
        <f>+D119-198602</f>
        <v>231886</v>
      </c>
      <c r="H119" s="23">
        <f t="shared" si="46"/>
        <v>3.6181571979334672E-3</v>
      </c>
      <c r="I119" s="24">
        <f t="shared" si="47"/>
        <v>43.580134117435975</v>
      </c>
      <c r="J119" s="24">
        <f t="shared" si="48"/>
        <v>79.320431969062199</v>
      </c>
      <c r="K119" s="21">
        <v>18459847.530000001</v>
      </c>
      <c r="L119" s="21">
        <v>18193233.449999999</v>
      </c>
      <c r="M119" s="25">
        <f t="shared" si="49"/>
        <v>1.4654573676126931E-2</v>
      </c>
      <c r="N119" s="10"/>
      <c r="R119" s="2"/>
    </row>
    <row r="120" spans="1:18" ht="15.75" customHeight="1" x14ac:dyDescent="0.25">
      <c r="A120" s="19"/>
      <c r="B120" s="20">
        <f>DATE(2019,10,1)</f>
        <v>43739</v>
      </c>
      <c r="C120" s="21">
        <v>422309</v>
      </c>
      <c r="D120" s="21">
        <v>407351</v>
      </c>
      <c r="E120" s="23">
        <f t="shared" si="45"/>
        <v>3.6720174984227361E-2</v>
      </c>
      <c r="F120" s="21">
        <f>+C120-185957</f>
        <v>236352</v>
      </c>
      <c r="G120" s="21">
        <f>+D120-184649</f>
        <v>222702</v>
      </c>
      <c r="H120" s="23">
        <f t="shared" si="46"/>
        <v>6.1292669127354045E-2</v>
      </c>
      <c r="I120" s="24">
        <f t="shared" si="47"/>
        <v>44.095064253899395</v>
      </c>
      <c r="J120" s="24">
        <f t="shared" si="48"/>
        <v>78.788173952409963</v>
      </c>
      <c r="K120" s="21">
        <v>18621742.489999998</v>
      </c>
      <c r="L120" s="21">
        <v>16758743.75</v>
      </c>
      <c r="M120" s="25">
        <f t="shared" si="49"/>
        <v>0.11116577517929996</v>
      </c>
      <c r="N120" s="10"/>
      <c r="R120" s="2"/>
    </row>
    <row r="121" spans="1:18" ht="15.75" customHeight="1" x14ac:dyDescent="0.25">
      <c r="A121" s="19"/>
      <c r="B121" s="20">
        <f>DATE(2019,11,1)</f>
        <v>43770</v>
      </c>
      <c r="C121" s="21">
        <v>434843</v>
      </c>
      <c r="D121" s="21">
        <v>411941</v>
      </c>
      <c r="E121" s="23">
        <f t="shared" si="45"/>
        <v>5.5595340109384599E-2</v>
      </c>
      <c r="F121" s="21">
        <f>+C121-195427</f>
        <v>239416</v>
      </c>
      <c r="G121" s="21">
        <f>+D121-188303</f>
        <v>223638</v>
      </c>
      <c r="H121" s="23">
        <f t="shared" si="46"/>
        <v>7.0551516289718202E-2</v>
      </c>
      <c r="I121" s="24">
        <f t="shared" si="47"/>
        <v>45.420087594833078</v>
      </c>
      <c r="J121" s="24">
        <f t="shared" si="48"/>
        <v>82.494934131386373</v>
      </c>
      <c r="K121" s="21">
        <v>19750607.149999999</v>
      </c>
      <c r="L121" s="21">
        <v>19508179.460000001</v>
      </c>
      <c r="M121" s="25">
        <f t="shared" si="49"/>
        <v>1.2426976617529928E-2</v>
      </c>
      <c r="N121" s="10"/>
      <c r="R121" s="2"/>
    </row>
    <row r="122" spans="1:18" ht="15.75" customHeight="1" x14ac:dyDescent="0.25">
      <c r="A122" s="19"/>
      <c r="B122" s="20">
        <f>DATE(2019,12,1)</f>
        <v>43800</v>
      </c>
      <c r="C122" s="21">
        <v>424920</v>
      </c>
      <c r="D122" s="21">
        <v>472920</v>
      </c>
      <c r="E122" s="23">
        <f t="shared" si="45"/>
        <v>-0.10149708195889368</v>
      </c>
      <c r="F122" s="21">
        <f>+C122-195550</f>
        <v>229370</v>
      </c>
      <c r="G122" s="21">
        <f>+D122-218118</f>
        <v>254802</v>
      </c>
      <c r="H122" s="23">
        <f t="shared" si="46"/>
        <v>-9.9810833509941049E-2</v>
      </c>
      <c r="I122" s="24">
        <f t="shared" si="47"/>
        <v>46.924102066271296</v>
      </c>
      <c r="J122" s="24">
        <f t="shared" si="48"/>
        <v>86.929369359550066</v>
      </c>
      <c r="K122" s="21">
        <v>19938989.449999999</v>
      </c>
      <c r="L122" s="21">
        <v>20559094.579999998</v>
      </c>
      <c r="M122" s="25">
        <f t="shared" si="49"/>
        <v>-3.0162083626155439E-2</v>
      </c>
      <c r="N122" s="10"/>
      <c r="R122" s="2"/>
    </row>
    <row r="123" spans="1:18" ht="15.75" customHeight="1" x14ac:dyDescent="0.25">
      <c r="A123" s="19"/>
      <c r="B123" s="20">
        <f>DATE(2020,1,1)</f>
        <v>43831</v>
      </c>
      <c r="C123" s="21">
        <v>412724</v>
      </c>
      <c r="D123" s="21">
        <v>350517</v>
      </c>
      <c r="E123" s="23">
        <f t="shared" si="45"/>
        <v>0.17747213401917739</v>
      </c>
      <c r="F123" s="21">
        <f>+C123-198460</f>
        <v>214264</v>
      </c>
      <c r="G123" s="21">
        <f>+D123-164493</f>
        <v>186024</v>
      </c>
      <c r="H123" s="23">
        <f t="shared" si="46"/>
        <v>0.15180836881262633</v>
      </c>
      <c r="I123" s="24">
        <f t="shared" si="47"/>
        <v>45.893010922553572</v>
      </c>
      <c r="J123" s="24">
        <f t="shared" si="48"/>
        <v>88.400977485718542</v>
      </c>
      <c r="K123" s="21">
        <v>18941147.039999999</v>
      </c>
      <c r="L123" s="21">
        <v>16080175.630000001</v>
      </c>
      <c r="M123" s="25">
        <f t="shared" si="49"/>
        <v>0.177919164307038</v>
      </c>
      <c r="N123" s="10"/>
      <c r="R123" s="2"/>
    </row>
    <row r="124" spans="1:18" ht="15.75" customHeight="1" x14ac:dyDescent="0.25">
      <c r="A124" s="19"/>
      <c r="B124" s="20">
        <f>DATE(2020,2,1)</f>
        <v>43862</v>
      </c>
      <c r="C124" s="21">
        <v>435690</v>
      </c>
      <c r="D124" s="21">
        <v>392165</v>
      </c>
      <c r="E124" s="23">
        <f t="shared" si="45"/>
        <v>0.11098644703122411</v>
      </c>
      <c r="F124" s="21">
        <f>+C124-192836</f>
        <v>242854</v>
      </c>
      <c r="G124" s="21">
        <f>+D124-179856</f>
        <v>212309</v>
      </c>
      <c r="H124" s="23">
        <f t="shared" si="46"/>
        <v>0.14387049065277496</v>
      </c>
      <c r="I124" s="24">
        <f t="shared" si="47"/>
        <v>43.198524134132064</v>
      </c>
      <c r="J124" s="24">
        <f t="shared" si="48"/>
        <v>77.499917563639059</v>
      </c>
      <c r="K124" s="21">
        <v>18821164.98</v>
      </c>
      <c r="L124" s="21">
        <v>17454098.280000001</v>
      </c>
      <c r="M124" s="25">
        <f t="shared" si="49"/>
        <v>7.8323536287547429E-2</v>
      </c>
      <c r="N124" s="10"/>
      <c r="R124" s="2"/>
    </row>
    <row r="125" spans="1:18" ht="15.75" customHeight="1" x14ac:dyDescent="0.25">
      <c r="A125" s="19"/>
      <c r="B125" s="20">
        <f>DATE(2020,3,1)</f>
        <v>43891</v>
      </c>
      <c r="C125" s="21">
        <v>197840</v>
      </c>
      <c r="D125" s="21">
        <v>469468</v>
      </c>
      <c r="E125" s="23">
        <f t="shared" si="45"/>
        <v>-0.57858682593914812</v>
      </c>
      <c r="F125" s="21">
        <f>+C125-89524</f>
        <v>108316</v>
      </c>
      <c r="G125" s="21">
        <f>+D125-217582</f>
        <v>251886</v>
      </c>
      <c r="H125" s="23">
        <f t="shared" si="46"/>
        <v>-0.569980070349285</v>
      </c>
      <c r="I125" s="24">
        <f t="shared" si="47"/>
        <v>48.768392488879904</v>
      </c>
      <c r="J125" s="24">
        <f t="shared" si="48"/>
        <v>89.075840780678746</v>
      </c>
      <c r="K125" s="21">
        <v>9648338.7699999996</v>
      </c>
      <c r="L125" s="21">
        <v>20849230.379999999</v>
      </c>
      <c r="M125" s="25">
        <f t="shared" si="49"/>
        <v>-0.53723285732142212</v>
      </c>
      <c r="N125" s="10"/>
      <c r="R125" s="2"/>
    </row>
    <row r="126" spans="1:18" ht="15.75" customHeight="1" thickBot="1" x14ac:dyDescent="0.3">
      <c r="A126" s="19"/>
      <c r="B126" s="45"/>
      <c r="C126" s="21"/>
      <c r="D126" s="21"/>
      <c r="E126" s="23"/>
      <c r="F126" s="21"/>
      <c r="G126" s="21"/>
      <c r="H126" s="23"/>
      <c r="I126" s="24"/>
      <c r="J126" s="24"/>
      <c r="K126" s="21"/>
      <c r="L126" s="21"/>
      <c r="M126" s="25"/>
      <c r="N126" s="10"/>
      <c r="R126" s="2"/>
    </row>
    <row r="127" spans="1:18" ht="17.25" thickTop="1" thickBot="1" x14ac:dyDescent="0.3">
      <c r="A127" s="39" t="s">
        <v>14</v>
      </c>
      <c r="B127" s="40"/>
      <c r="C127" s="41">
        <f>SUM(C117:C126)</f>
        <v>3612509</v>
      </c>
      <c r="D127" s="41">
        <f>SUM(D117:D126)</f>
        <v>3800456</v>
      </c>
      <c r="E127" s="279">
        <f>(+C127-D127)/D127</f>
        <v>-4.9453802385818965E-2</v>
      </c>
      <c r="F127" s="41">
        <f>SUM(F117:F126)</f>
        <v>1974205</v>
      </c>
      <c r="G127" s="41">
        <f>SUM(G117:G126)</f>
        <v>2047667</v>
      </c>
      <c r="H127" s="42">
        <f>(+F127-G127)/G127</f>
        <v>-3.5875950532972399E-2</v>
      </c>
      <c r="I127" s="43">
        <f>K127/C127</f>
        <v>44.824801684923145</v>
      </c>
      <c r="J127" s="43">
        <f>K127/F127</f>
        <v>82.022889978497687</v>
      </c>
      <c r="K127" s="41">
        <f>SUM(K117:K126)</f>
        <v>161929999.51000002</v>
      </c>
      <c r="L127" s="41">
        <f>SUM(L117:L126)</f>
        <v>168062905.51999998</v>
      </c>
      <c r="M127" s="44">
        <f>(+K127-L127)/L127</f>
        <v>-3.6491729040529573E-2</v>
      </c>
      <c r="N127" s="10"/>
      <c r="R127" s="2"/>
    </row>
    <row r="128" spans="1:18" ht="15.75" customHeight="1" thickTop="1" x14ac:dyDescent="0.2">
      <c r="A128" s="58"/>
      <c r="B128" s="59"/>
      <c r="C128" s="59"/>
      <c r="D128" s="59"/>
      <c r="E128" s="60"/>
      <c r="F128" s="59"/>
      <c r="G128" s="59"/>
      <c r="H128" s="60"/>
      <c r="I128" s="59"/>
      <c r="J128" s="59"/>
      <c r="K128" s="197"/>
      <c r="L128" s="197"/>
      <c r="M128" s="61"/>
      <c r="N128" s="10"/>
      <c r="R128" s="2"/>
    </row>
    <row r="129" spans="1:18" ht="15" customHeight="1" x14ac:dyDescent="0.25">
      <c r="A129" s="19" t="s">
        <v>59</v>
      </c>
      <c r="B129" s="20">
        <f>DATE(2019,7,1)</f>
        <v>43647</v>
      </c>
      <c r="C129" s="21">
        <v>61327</v>
      </c>
      <c r="D129" s="21">
        <v>63934</v>
      </c>
      <c r="E129" s="23">
        <f t="shared" ref="E129:E137" si="50">(+C129-D129)/D129</f>
        <v>-4.0776425688991771E-2</v>
      </c>
      <c r="F129" s="21">
        <f>+C129-29380</f>
        <v>31947</v>
      </c>
      <c r="G129" s="21">
        <f>+D129-30110</f>
        <v>33824</v>
      </c>
      <c r="H129" s="23">
        <f t="shared" ref="H129:H137" si="51">(+F129-G129)/G129</f>
        <v>-5.5493140964995268E-2</v>
      </c>
      <c r="I129" s="24">
        <f t="shared" ref="I129:I137" si="52">K129/C129</f>
        <v>44.824024328599151</v>
      </c>
      <c r="J129" s="24">
        <f t="shared" ref="J129:J137" si="53">K129/F129</f>
        <v>86.046356152377371</v>
      </c>
      <c r="K129" s="21">
        <v>2748922.94</v>
      </c>
      <c r="L129" s="21">
        <v>2819787.79</v>
      </c>
      <c r="M129" s="25">
        <f t="shared" ref="M129:M137" si="54">(+K129-L129)/L129</f>
        <v>-2.5131270605296185E-2</v>
      </c>
      <c r="N129" s="10"/>
      <c r="R129" s="2"/>
    </row>
    <row r="130" spans="1:18" ht="15" customHeight="1" x14ac:dyDescent="0.25">
      <c r="A130" s="19"/>
      <c r="B130" s="20">
        <f>DATE(2019,8,1)</f>
        <v>43678</v>
      </c>
      <c r="C130" s="21">
        <v>62887</v>
      </c>
      <c r="D130" s="21">
        <v>61004</v>
      </c>
      <c r="E130" s="23">
        <f t="shared" si="50"/>
        <v>3.0866828404694773E-2</v>
      </c>
      <c r="F130" s="21">
        <f>+C130-30695</f>
        <v>32192</v>
      </c>
      <c r="G130" s="21">
        <f>+D130-29259</f>
        <v>31745</v>
      </c>
      <c r="H130" s="23">
        <f t="shared" si="51"/>
        <v>1.4080957631123011E-2</v>
      </c>
      <c r="I130" s="24">
        <f t="shared" si="52"/>
        <v>47.076432649037166</v>
      </c>
      <c r="J130" s="24">
        <f t="shared" si="53"/>
        <v>91.963705889662037</v>
      </c>
      <c r="K130" s="21">
        <v>2960495.62</v>
      </c>
      <c r="L130" s="21">
        <v>2779592.61</v>
      </c>
      <c r="M130" s="25">
        <f t="shared" si="54"/>
        <v>6.5082562584594092E-2</v>
      </c>
      <c r="N130" s="10"/>
      <c r="R130" s="2"/>
    </row>
    <row r="131" spans="1:18" ht="15" customHeight="1" x14ac:dyDescent="0.25">
      <c r="A131" s="19"/>
      <c r="B131" s="20">
        <f>DATE(2019,9,1)</f>
        <v>43709</v>
      </c>
      <c r="C131" s="21">
        <v>59108</v>
      </c>
      <c r="D131" s="21">
        <v>57391</v>
      </c>
      <c r="E131" s="23">
        <f t="shared" si="50"/>
        <v>2.9917582896272936E-2</v>
      </c>
      <c r="F131" s="21">
        <f>+C131-28508</f>
        <v>30600</v>
      </c>
      <c r="G131" s="21">
        <f>+D131-27760</f>
        <v>29631</v>
      </c>
      <c r="H131" s="23">
        <f t="shared" si="51"/>
        <v>3.2702237521514632E-2</v>
      </c>
      <c r="I131" s="24">
        <f t="shared" si="52"/>
        <v>45.641732422007173</v>
      </c>
      <c r="J131" s="24">
        <f t="shared" si="53"/>
        <v>88.163121568627446</v>
      </c>
      <c r="K131" s="21">
        <v>2697791.52</v>
      </c>
      <c r="L131" s="21">
        <v>2617109.27</v>
      </c>
      <c r="M131" s="25">
        <f t="shared" si="54"/>
        <v>3.082876627463094E-2</v>
      </c>
      <c r="N131" s="10"/>
      <c r="R131" s="2"/>
    </row>
    <row r="132" spans="1:18" ht="15" customHeight="1" x14ac:dyDescent="0.25">
      <c r="A132" s="19"/>
      <c r="B132" s="20">
        <f>DATE(2019,10,1)</f>
        <v>43739</v>
      </c>
      <c r="C132" s="21">
        <v>56197</v>
      </c>
      <c r="D132" s="21">
        <v>54970</v>
      </c>
      <c r="E132" s="23">
        <f t="shared" si="50"/>
        <v>2.2321266145170094E-2</v>
      </c>
      <c r="F132" s="21">
        <f>+C132-27661</f>
        <v>28536</v>
      </c>
      <c r="G132" s="21">
        <f>+D132-26236</f>
        <v>28734</v>
      </c>
      <c r="H132" s="23">
        <f t="shared" si="51"/>
        <v>-6.8907913969513471E-3</v>
      </c>
      <c r="I132" s="24">
        <f t="shared" si="52"/>
        <v>50.092445860099296</v>
      </c>
      <c r="J132" s="24">
        <f t="shared" si="53"/>
        <v>98.648905943369783</v>
      </c>
      <c r="K132" s="21">
        <v>2815045.18</v>
      </c>
      <c r="L132" s="21">
        <v>2535463.88</v>
      </c>
      <c r="M132" s="25">
        <f t="shared" si="54"/>
        <v>0.11026830325029134</v>
      </c>
      <c r="N132" s="10"/>
      <c r="R132" s="2"/>
    </row>
    <row r="133" spans="1:18" ht="15" customHeight="1" x14ac:dyDescent="0.25">
      <c r="A133" s="19"/>
      <c r="B133" s="20">
        <f>DATE(2019,11,1)</f>
        <v>43770</v>
      </c>
      <c r="C133" s="21">
        <v>56040</v>
      </c>
      <c r="D133" s="21">
        <v>49028</v>
      </c>
      <c r="E133" s="23">
        <f t="shared" si="50"/>
        <v>0.14302031492208533</v>
      </c>
      <c r="F133" s="21">
        <f>+C133-27978</f>
        <v>28062</v>
      </c>
      <c r="G133" s="21">
        <f>+D133-24232</f>
        <v>24796</v>
      </c>
      <c r="H133" s="23">
        <f t="shared" si="51"/>
        <v>0.13171479270850137</v>
      </c>
      <c r="I133" s="24">
        <f t="shared" si="52"/>
        <v>52.130084939329052</v>
      </c>
      <c r="J133" s="24">
        <f t="shared" si="53"/>
        <v>104.10412515145036</v>
      </c>
      <c r="K133" s="21">
        <v>2921369.96</v>
      </c>
      <c r="L133" s="21">
        <v>2404704.69</v>
      </c>
      <c r="M133" s="25">
        <f t="shared" si="54"/>
        <v>0.21485601627033882</v>
      </c>
      <c r="N133" s="10"/>
      <c r="R133" s="2"/>
    </row>
    <row r="134" spans="1:18" ht="15" customHeight="1" x14ac:dyDescent="0.25">
      <c r="A134" s="19"/>
      <c r="B134" s="20">
        <f>DATE(2019,12,1)</f>
        <v>43800</v>
      </c>
      <c r="C134" s="21">
        <v>57797</v>
      </c>
      <c r="D134" s="21">
        <v>58147</v>
      </c>
      <c r="E134" s="23">
        <f t="shared" si="50"/>
        <v>-6.0192271312363493E-3</v>
      </c>
      <c r="F134" s="21">
        <f>+C134-28840</f>
        <v>28957</v>
      </c>
      <c r="G134" s="21">
        <f>+D134-29074</f>
        <v>29073</v>
      </c>
      <c r="H134" s="23">
        <f t="shared" si="51"/>
        <v>-3.9899563168575656E-3</v>
      </c>
      <c r="I134" s="24">
        <f t="shared" si="52"/>
        <v>48.264124781563062</v>
      </c>
      <c r="J134" s="24">
        <f t="shared" si="53"/>
        <v>96.333239631177264</v>
      </c>
      <c r="K134" s="21">
        <v>2789521.62</v>
      </c>
      <c r="L134" s="21">
        <v>2611923.73</v>
      </c>
      <c r="M134" s="25">
        <f t="shared" si="54"/>
        <v>6.7995052060727715E-2</v>
      </c>
      <c r="N134" s="10"/>
      <c r="R134" s="2"/>
    </row>
    <row r="135" spans="1:18" ht="15" customHeight="1" x14ac:dyDescent="0.25">
      <c r="A135" s="19"/>
      <c r="B135" s="20">
        <f>DATE(2020,1,1)</f>
        <v>43831</v>
      </c>
      <c r="C135" s="21">
        <v>48934</v>
      </c>
      <c r="D135" s="21">
        <v>41757</v>
      </c>
      <c r="E135" s="23">
        <f t="shared" si="50"/>
        <v>0.17187537418875878</v>
      </c>
      <c r="F135" s="21">
        <f>+C135-24962</f>
        <v>23972</v>
      </c>
      <c r="G135" s="21">
        <f>+D135-21350</f>
        <v>20407</v>
      </c>
      <c r="H135" s="23">
        <f t="shared" si="51"/>
        <v>0.17469495761258391</v>
      </c>
      <c r="I135" s="24">
        <f t="shared" si="52"/>
        <v>52.257414067928224</v>
      </c>
      <c r="J135" s="24">
        <f t="shared" si="53"/>
        <v>106.67296429167361</v>
      </c>
      <c r="K135" s="21">
        <v>2557164.2999999998</v>
      </c>
      <c r="L135" s="21">
        <v>2055487.97</v>
      </c>
      <c r="M135" s="25">
        <f t="shared" si="54"/>
        <v>0.2440667799189308</v>
      </c>
      <c r="N135" s="10"/>
      <c r="R135" s="2"/>
    </row>
    <row r="136" spans="1:18" ht="15" customHeight="1" x14ac:dyDescent="0.25">
      <c r="A136" s="19"/>
      <c r="B136" s="20">
        <f>DATE(2020,2,1)</f>
        <v>43862</v>
      </c>
      <c r="C136" s="21">
        <v>57643</v>
      </c>
      <c r="D136" s="21">
        <v>48742</v>
      </c>
      <c r="E136" s="23">
        <f t="shared" si="50"/>
        <v>0.18261458290591276</v>
      </c>
      <c r="F136" s="21">
        <f>+C136-29130</f>
        <v>28513</v>
      </c>
      <c r="G136" s="21">
        <f>+D136-24917</f>
        <v>23825</v>
      </c>
      <c r="H136" s="23">
        <f t="shared" si="51"/>
        <v>0.19676810073452256</v>
      </c>
      <c r="I136" s="24">
        <f t="shared" si="52"/>
        <v>52.004041080443415</v>
      </c>
      <c r="J136" s="24">
        <f t="shared" si="53"/>
        <v>105.13341072493249</v>
      </c>
      <c r="K136" s="21">
        <v>2997668.94</v>
      </c>
      <c r="L136" s="21">
        <v>2440368.92</v>
      </c>
      <c r="M136" s="25">
        <f t="shared" si="54"/>
        <v>0.22836711918130806</v>
      </c>
      <c r="N136" s="10"/>
      <c r="R136" s="2"/>
    </row>
    <row r="137" spans="1:18" ht="15" customHeight="1" x14ac:dyDescent="0.25">
      <c r="A137" s="19"/>
      <c r="B137" s="20">
        <f>DATE(2020,3,1)</f>
        <v>43891</v>
      </c>
      <c r="C137" s="21">
        <v>31920</v>
      </c>
      <c r="D137" s="21">
        <v>61678</v>
      </c>
      <c r="E137" s="23">
        <f t="shared" si="50"/>
        <v>-0.48247349135834494</v>
      </c>
      <c r="F137" s="21">
        <f>+C137-15915</f>
        <v>16005</v>
      </c>
      <c r="G137" s="21">
        <f>+D137-31460</f>
        <v>30218</v>
      </c>
      <c r="H137" s="23">
        <f t="shared" si="51"/>
        <v>-0.47034879872923424</v>
      </c>
      <c r="I137" s="24">
        <f t="shared" si="52"/>
        <v>57.043250626566419</v>
      </c>
      <c r="J137" s="24">
        <f t="shared" si="53"/>
        <v>113.76573320837238</v>
      </c>
      <c r="K137" s="21">
        <v>1820820.56</v>
      </c>
      <c r="L137" s="21">
        <v>3079418.1</v>
      </c>
      <c r="M137" s="25">
        <f t="shared" si="54"/>
        <v>-0.40871278245717918</v>
      </c>
      <c r="N137" s="10"/>
      <c r="R137" s="2"/>
    </row>
    <row r="138" spans="1:18" ht="15.75" thickBot="1" x14ac:dyDescent="0.25">
      <c r="A138" s="38"/>
      <c r="B138" s="20"/>
      <c r="C138" s="21"/>
      <c r="D138" s="21"/>
      <c r="E138" s="23"/>
      <c r="F138" s="21"/>
      <c r="G138" s="21"/>
      <c r="H138" s="23"/>
      <c r="I138" s="24"/>
      <c r="J138" s="24"/>
      <c r="K138" s="21"/>
      <c r="L138" s="21"/>
      <c r="M138" s="25"/>
      <c r="N138" s="10"/>
      <c r="R138" s="2"/>
    </row>
    <row r="139" spans="1:18" ht="17.25" thickTop="1" thickBot="1" x14ac:dyDescent="0.3">
      <c r="A139" s="62" t="s">
        <v>14</v>
      </c>
      <c r="B139" s="52"/>
      <c r="C139" s="48">
        <f>SUM(C129:C138)</f>
        <v>491853</v>
      </c>
      <c r="D139" s="48">
        <f>SUM(D129:D138)</f>
        <v>496651</v>
      </c>
      <c r="E139" s="279">
        <f>(+C139-D139)/D139</f>
        <v>-9.6607074182876902E-3</v>
      </c>
      <c r="F139" s="48">
        <f>SUM(F129:F138)</f>
        <v>248784</v>
      </c>
      <c r="G139" s="48">
        <f>SUM(G129:G138)</f>
        <v>252253</v>
      </c>
      <c r="H139" s="42">
        <f>(+F139-G139)/G139</f>
        <v>-1.3752066377803237E-2</v>
      </c>
      <c r="I139" s="50">
        <f>K139/C139</f>
        <v>49.422897979680926</v>
      </c>
      <c r="J139" s="50">
        <f>K139/F139</f>
        <v>97.710466267927202</v>
      </c>
      <c r="K139" s="48">
        <f>SUM(K129:K138)</f>
        <v>24308800.640000001</v>
      </c>
      <c r="L139" s="48">
        <f>SUM(L129:L138)</f>
        <v>23343856.960000001</v>
      </c>
      <c r="M139" s="44">
        <f>(+K139-L139)/L139</f>
        <v>4.133608604839565E-2</v>
      </c>
      <c r="N139" s="10"/>
      <c r="R139" s="2"/>
    </row>
    <row r="140" spans="1:18" ht="15.75" customHeight="1" thickTop="1" x14ac:dyDescent="0.25">
      <c r="A140" s="19"/>
      <c r="B140" s="45"/>
      <c r="C140" s="21"/>
      <c r="D140" s="21"/>
      <c r="E140" s="23"/>
      <c r="F140" s="21"/>
      <c r="G140" s="21"/>
      <c r="H140" s="23"/>
      <c r="I140" s="24"/>
      <c r="J140" s="24"/>
      <c r="K140" s="21"/>
      <c r="L140" s="21"/>
      <c r="M140" s="25"/>
      <c r="N140" s="10"/>
      <c r="R140" s="2"/>
    </row>
    <row r="141" spans="1:18" ht="15.75" x14ac:dyDescent="0.25">
      <c r="A141" s="19" t="s">
        <v>19</v>
      </c>
      <c r="B141" s="20">
        <f>DATE(2019,7,1)</f>
        <v>43647</v>
      </c>
      <c r="C141" s="21">
        <v>447474</v>
      </c>
      <c r="D141" s="21">
        <v>470294</v>
      </c>
      <c r="E141" s="23">
        <f t="shared" ref="E141:E149" si="55">(+C141-D141)/D141</f>
        <v>-4.8522838905025366E-2</v>
      </c>
      <c r="F141" s="21">
        <f>+C141-208413</f>
        <v>239061</v>
      </c>
      <c r="G141" s="21">
        <f>+D141-224781</f>
        <v>245513</v>
      </c>
      <c r="H141" s="23">
        <f t="shared" ref="H141:H149" si="56">(+F141-G141)/G141</f>
        <v>-2.627966747178357E-2</v>
      </c>
      <c r="I141" s="24">
        <f t="shared" ref="I141:I149" si="57">K141/C141</f>
        <v>50.948363234511952</v>
      </c>
      <c r="J141" s="24">
        <f t="shared" ref="J141:J149" si="58">K141/F141</f>
        <v>95.365065359887225</v>
      </c>
      <c r="K141" s="21">
        <v>22798067.890000001</v>
      </c>
      <c r="L141" s="21">
        <v>23419555.780000001</v>
      </c>
      <c r="M141" s="25">
        <f t="shared" ref="M141:M149" si="59">(+K141-L141)/L141</f>
        <v>-2.6537134001949909E-2</v>
      </c>
      <c r="N141" s="10"/>
      <c r="R141" s="2"/>
    </row>
    <row r="142" spans="1:18" ht="15.75" x14ac:dyDescent="0.25">
      <c r="A142" s="19"/>
      <c r="B142" s="20">
        <f>DATE(2019,8,1)</f>
        <v>43678</v>
      </c>
      <c r="C142" s="21">
        <v>463395</v>
      </c>
      <c r="D142" s="21">
        <v>474770</v>
      </c>
      <c r="E142" s="23">
        <f t="shared" si="55"/>
        <v>-2.39589696063357E-2</v>
      </c>
      <c r="F142" s="21">
        <f>+C142-219743</f>
        <v>243652</v>
      </c>
      <c r="G142" s="21">
        <f>+D142-232249</f>
        <v>242521</v>
      </c>
      <c r="H142" s="23">
        <f t="shared" si="56"/>
        <v>4.663513675104424E-3</v>
      </c>
      <c r="I142" s="24">
        <f t="shared" si="57"/>
        <v>50.067066649402783</v>
      </c>
      <c r="J142" s="24">
        <f t="shared" si="58"/>
        <v>95.22116933166977</v>
      </c>
      <c r="K142" s="21">
        <v>23200828.350000001</v>
      </c>
      <c r="L142" s="21">
        <v>23787231.309999999</v>
      </c>
      <c r="M142" s="25">
        <f t="shared" si="59"/>
        <v>-2.4652005622591192E-2</v>
      </c>
      <c r="N142" s="10"/>
      <c r="R142" s="2"/>
    </row>
    <row r="143" spans="1:18" ht="15.75" x14ac:dyDescent="0.25">
      <c r="A143" s="19"/>
      <c r="B143" s="20">
        <f>DATE(2019,9,1)</f>
        <v>43709</v>
      </c>
      <c r="C143" s="21">
        <v>425892</v>
      </c>
      <c r="D143" s="21">
        <v>439040</v>
      </c>
      <c r="E143" s="23">
        <f t="shared" si="55"/>
        <v>-2.9947157434402332E-2</v>
      </c>
      <c r="F143" s="21">
        <f>+C143-202215</f>
        <v>223677</v>
      </c>
      <c r="G143" s="21">
        <f>+D143-213778</f>
        <v>225262</v>
      </c>
      <c r="H143" s="23">
        <f t="shared" si="56"/>
        <v>-7.0362511209169764E-3</v>
      </c>
      <c r="I143" s="24">
        <f t="shared" si="57"/>
        <v>50.554840593389876</v>
      </c>
      <c r="J143" s="24">
        <f t="shared" si="58"/>
        <v>96.258900870451598</v>
      </c>
      <c r="K143" s="21">
        <v>21530902.170000002</v>
      </c>
      <c r="L143" s="21">
        <v>21674295.539999999</v>
      </c>
      <c r="M143" s="25">
        <f t="shared" si="59"/>
        <v>-6.6158260938799273E-3</v>
      </c>
      <c r="N143" s="10"/>
      <c r="R143" s="2"/>
    </row>
    <row r="144" spans="1:18" ht="15.75" x14ac:dyDescent="0.25">
      <c r="A144" s="19"/>
      <c r="B144" s="20">
        <f>DATE(2019,10,1)</f>
        <v>43739</v>
      </c>
      <c r="C144" s="21">
        <v>405696</v>
      </c>
      <c r="D144" s="21">
        <v>422287</v>
      </c>
      <c r="E144" s="23">
        <f t="shared" si="55"/>
        <v>-3.9288446009467494E-2</v>
      </c>
      <c r="F144" s="21">
        <f>+C144-186355</f>
        <v>219341</v>
      </c>
      <c r="G144" s="21">
        <f>+D144-199383</f>
        <v>222904</v>
      </c>
      <c r="H144" s="23">
        <f t="shared" si="56"/>
        <v>-1.5984459677708788E-2</v>
      </c>
      <c r="I144" s="24">
        <f t="shared" si="57"/>
        <v>53.730310848517121</v>
      </c>
      <c r="J144" s="24">
        <f t="shared" si="58"/>
        <v>99.380290005060615</v>
      </c>
      <c r="K144" s="21">
        <v>21798172.190000001</v>
      </c>
      <c r="L144" s="21">
        <v>20754214.07</v>
      </c>
      <c r="M144" s="25">
        <f t="shared" si="59"/>
        <v>5.0301019179956885E-2</v>
      </c>
      <c r="N144" s="10"/>
      <c r="R144" s="2"/>
    </row>
    <row r="145" spans="1:18" ht="15.75" x14ac:dyDescent="0.25">
      <c r="A145" s="19"/>
      <c r="B145" s="20">
        <f>DATE(2019,11,1)</f>
        <v>43770</v>
      </c>
      <c r="C145" s="21">
        <v>410474</v>
      </c>
      <c r="D145" s="21">
        <v>425527</v>
      </c>
      <c r="E145" s="23">
        <f t="shared" si="55"/>
        <v>-3.5374958580771609E-2</v>
      </c>
      <c r="F145" s="21">
        <f>+C145-191079</f>
        <v>219395</v>
      </c>
      <c r="G145" s="21">
        <f>+D145-204971</f>
        <v>220556</v>
      </c>
      <c r="H145" s="23">
        <f t="shared" si="56"/>
        <v>-5.2639692413718056E-3</v>
      </c>
      <c r="I145" s="24">
        <f t="shared" si="57"/>
        <v>50.735759073656304</v>
      </c>
      <c r="J145" s="24">
        <f t="shared" si="58"/>
        <v>94.923357277968961</v>
      </c>
      <c r="K145" s="21">
        <v>20825709.969999999</v>
      </c>
      <c r="L145" s="21">
        <v>21387450.190000001</v>
      </c>
      <c r="M145" s="25">
        <f t="shared" si="59"/>
        <v>-2.626494579810416E-2</v>
      </c>
      <c r="N145" s="10"/>
      <c r="R145" s="2"/>
    </row>
    <row r="146" spans="1:18" ht="15.75" x14ac:dyDescent="0.25">
      <c r="A146" s="19"/>
      <c r="B146" s="20">
        <f>DATE(2019,12,1)</f>
        <v>43800</v>
      </c>
      <c r="C146" s="21">
        <v>436988</v>
      </c>
      <c r="D146" s="21">
        <v>480889</v>
      </c>
      <c r="E146" s="23">
        <f t="shared" si="55"/>
        <v>-9.1291337502001496E-2</v>
      </c>
      <c r="F146" s="21">
        <f>+C146-202156</f>
        <v>234832</v>
      </c>
      <c r="G146" s="21">
        <f>+D146-230072</f>
        <v>250817</v>
      </c>
      <c r="H146" s="23">
        <f t="shared" si="56"/>
        <v>-6.3731724723603264E-2</v>
      </c>
      <c r="I146" s="24">
        <f t="shared" si="57"/>
        <v>50.367651239850979</v>
      </c>
      <c r="J146" s="24">
        <f t="shared" si="58"/>
        <v>93.726831011105816</v>
      </c>
      <c r="K146" s="21">
        <v>22010059.18</v>
      </c>
      <c r="L146" s="21">
        <v>23039096.699999999</v>
      </c>
      <c r="M146" s="25">
        <f t="shared" si="59"/>
        <v>-4.4664837923094426E-2</v>
      </c>
      <c r="N146" s="10"/>
      <c r="R146" s="2"/>
    </row>
    <row r="147" spans="1:18" ht="15.75" x14ac:dyDescent="0.25">
      <c r="A147" s="19"/>
      <c r="B147" s="20">
        <f>DATE(2020,1,1)</f>
        <v>43831</v>
      </c>
      <c r="C147" s="21">
        <v>413705</v>
      </c>
      <c r="D147" s="21">
        <v>389075</v>
      </c>
      <c r="E147" s="23">
        <f t="shared" si="55"/>
        <v>6.3303990233245525E-2</v>
      </c>
      <c r="F147" s="21">
        <f>+C147-196166</f>
        <v>217539</v>
      </c>
      <c r="G147" s="21">
        <f>+D147-191824</f>
        <v>197251</v>
      </c>
      <c r="H147" s="23">
        <f t="shared" si="56"/>
        <v>0.10285372444246163</v>
      </c>
      <c r="I147" s="24">
        <f t="shared" si="57"/>
        <v>51.174824645580784</v>
      </c>
      <c r="J147" s="24">
        <f t="shared" si="58"/>
        <v>97.321771406506414</v>
      </c>
      <c r="K147" s="21">
        <v>21171280.829999998</v>
      </c>
      <c r="L147" s="21">
        <v>19054517.329999998</v>
      </c>
      <c r="M147" s="25">
        <f t="shared" si="59"/>
        <v>0.11108985146883278</v>
      </c>
      <c r="N147" s="10"/>
      <c r="R147" s="2"/>
    </row>
    <row r="148" spans="1:18" ht="15.75" x14ac:dyDescent="0.25">
      <c r="A148" s="19"/>
      <c r="B148" s="20">
        <f>DATE(2020,2,1)</f>
        <v>43862</v>
      </c>
      <c r="C148" s="21">
        <v>430579</v>
      </c>
      <c r="D148" s="21">
        <v>399765</v>
      </c>
      <c r="E148" s="23">
        <f t="shared" si="55"/>
        <v>7.7080284667242011E-2</v>
      </c>
      <c r="F148" s="21">
        <f>+C148-205960</f>
        <v>224619</v>
      </c>
      <c r="G148" s="21">
        <f>+D148-193480</f>
        <v>206285</v>
      </c>
      <c r="H148" s="23">
        <f t="shared" si="56"/>
        <v>8.8877039047919146E-2</v>
      </c>
      <c r="I148" s="24">
        <f t="shared" si="57"/>
        <v>49.437842904554103</v>
      </c>
      <c r="J148" s="24">
        <f t="shared" si="58"/>
        <v>94.768906281303003</v>
      </c>
      <c r="K148" s="21">
        <v>21286896.960000001</v>
      </c>
      <c r="L148" s="21">
        <v>20892055.809999999</v>
      </c>
      <c r="M148" s="25">
        <f t="shared" si="59"/>
        <v>1.8899104692751741E-2</v>
      </c>
      <c r="N148" s="10"/>
      <c r="R148" s="2"/>
    </row>
    <row r="149" spans="1:18" ht="15.75" x14ac:dyDescent="0.25">
      <c r="A149" s="19"/>
      <c r="B149" s="20">
        <f>DATE(2020,3,1)</f>
        <v>43891</v>
      </c>
      <c r="C149" s="21">
        <v>213931</v>
      </c>
      <c r="D149" s="21">
        <v>489112</v>
      </c>
      <c r="E149" s="23">
        <f t="shared" si="55"/>
        <v>-0.56261347094326042</v>
      </c>
      <c r="F149" s="21">
        <f>+C149-102211</f>
        <v>111720</v>
      </c>
      <c r="G149" s="21">
        <f>+D149-235747</f>
        <v>253365</v>
      </c>
      <c r="H149" s="23">
        <f t="shared" si="56"/>
        <v>-0.55905511811023623</v>
      </c>
      <c r="I149" s="24">
        <f t="shared" si="57"/>
        <v>54.772961141676518</v>
      </c>
      <c r="J149" s="24">
        <f t="shared" si="58"/>
        <v>104.88394513068386</v>
      </c>
      <c r="K149" s="21">
        <v>11717634.35</v>
      </c>
      <c r="L149" s="21">
        <v>24837856.809999999</v>
      </c>
      <c r="M149" s="25">
        <f t="shared" si="59"/>
        <v>-0.5282348859792787</v>
      </c>
      <c r="N149" s="10"/>
      <c r="R149" s="2"/>
    </row>
    <row r="150" spans="1:18" ht="15.75" thickBot="1" x14ac:dyDescent="0.25">
      <c r="A150" s="38"/>
      <c r="B150" s="45"/>
      <c r="C150" s="21"/>
      <c r="D150" s="21"/>
      <c r="E150" s="23"/>
      <c r="F150" s="21"/>
      <c r="G150" s="21"/>
      <c r="H150" s="23"/>
      <c r="I150" s="24"/>
      <c r="J150" s="24"/>
      <c r="K150" s="21"/>
      <c r="L150" s="21"/>
      <c r="M150" s="25"/>
      <c r="N150" s="10"/>
      <c r="R150" s="2"/>
    </row>
    <row r="151" spans="1:18" ht="17.25" thickTop="1" thickBot="1" x14ac:dyDescent="0.3">
      <c r="A151" s="39" t="s">
        <v>14</v>
      </c>
      <c r="B151" s="40"/>
      <c r="C151" s="41">
        <f>SUM(C141:C150)</f>
        <v>3648134</v>
      </c>
      <c r="D151" s="41">
        <f>SUM(D141:D150)</f>
        <v>3990759</v>
      </c>
      <c r="E151" s="279">
        <f>(+C151-D151)/D151</f>
        <v>-8.5854595579437393E-2</v>
      </c>
      <c r="F151" s="41">
        <f>SUM(F141:F150)</f>
        <v>1933836</v>
      </c>
      <c r="G151" s="41">
        <f>SUM(G141:G150)</f>
        <v>2064474</v>
      </c>
      <c r="H151" s="42">
        <f>(+F151-G151)/G151</f>
        <v>-6.3279072538573997E-2</v>
      </c>
      <c r="I151" s="43">
        <f>K151/C151</f>
        <v>51.078044800437702</v>
      </c>
      <c r="J151" s="43">
        <f>K151/F151</f>
        <v>96.357473896442087</v>
      </c>
      <c r="K151" s="41">
        <f>SUM(K141:K150)</f>
        <v>186339551.88999999</v>
      </c>
      <c r="L151" s="41">
        <f>SUM(L141:L150)</f>
        <v>198846273.53999999</v>
      </c>
      <c r="M151" s="44">
        <f>(+K151-L151)/L151</f>
        <v>-6.2896434654502842E-2</v>
      </c>
      <c r="N151" s="10"/>
      <c r="R151" s="2"/>
    </row>
    <row r="152" spans="1:18" ht="15.75" customHeight="1" thickTop="1" x14ac:dyDescent="0.25">
      <c r="A152" s="19"/>
      <c r="B152" s="45"/>
      <c r="C152" s="21"/>
      <c r="D152" s="21"/>
      <c r="E152" s="23"/>
      <c r="F152" s="21"/>
      <c r="G152" s="21"/>
      <c r="H152" s="23"/>
      <c r="I152" s="24"/>
      <c r="J152" s="24"/>
      <c r="K152" s="21"/>
      <c r="L152" s="21"/>
      <c r="M152" s="25"/>
      <c r="N152" s="10"/>
      <c r="R152" s="2"/>
    </row>
    <row r="153" spans="1:18" ht="15.75" x14ac:dyDescent="0.25">
      <c r="A153" s="19" t="s">
        <v>63</v>
      </c>
      <c r="B153" s="20">
        <f>DATE(2019,7,1)</f>
        <v>43647</v>
      </c>
      <c r="C153" s="21">
        <v>77431</v>
      </c>
      <c r="D153" s="21">
        <v>83462</v>
      </c>
      <c r="E153" s="23">
        <f t="shared" ref="E153:E161" si="60">(+C153-D153)/D153</f>
        <v>-7.2260429896240208E-2</v>
      </c>
      <c r="F153" s="21">
        <f>+C153-35761</f>
        <v>41670</v>
      </c>
      <c r="G153" s="21">
        <f>+D153-37670</f>
        <v>45792</v>
      </c>
      <c r="H153" s="23">
        <f t="shared" ref="H153:H161" si="61">(+F153-G153)/G153</f>
        <v>-9.0015723270440245E-2</v>
      </c>
      <c r="I153" s="24">
        <f t="shared" ref="I153:I161" si="62">K153/C153</f>
        <v>43.866899303896368</v>
      </c>
      <c r="J153" s="24">
        <f t="shared" ref="J153:J161" si="63">K153/F153</f>
        <v>81.513268058555312</v>
      </c>
      <c r="K153" s="21">
        <v>3396657.88</v>
      </c>
      <c r="L153" s="21">
        <v>3596592.5</v>
      </c>
      <c r="M153" s="25">
        <f t="shared" ref="M153:M161" si="64">(+K153-L153)/L153</f>
        <v>-5.5590011934907861E-2</v>
      </c>
      <c r="N153" s="10"/>
      <c r="R153" s="2"/>
    </row>
    <row r="154" spans="1:18" ht="15.75" x14ac:dyDescent="0.25">
      <c r="A154" s="19"/>
      <c r="B154" s="20">
        <f>DATE(2019,8,1)</f>
        <v>43678</v>
      </c>
      <c r="C154" s="21">
        <v>83032</v>
      </c>
      <c r="D154" s="21">
        <v>82775</v>
      </c>
      <c r="E154" s="23">
        <f t="shared" si="60"/>
        <v>3.1048021745696164E-3</v>
      </c>
      <c r="F154" s="21">
        <f>+C154-37844</f>
        <v>45188</v>
      </c>
      <c r="G154" s="21">
        <f>+D154-37255</f>
        <v>45520</v>
      </c>
      <c r="H154" s="23">
        <f t="shared" si="61"/>
        <v>-7.2934973637961333E-3</v>
      </c>
      <c r="I154" s="24">
        <f t="shared" si="62"/>
        <v>42.053671957799402</v>
      </c>
      <c r="J154" s="24">
        <f t="shared" si="63"/>
        <v>77.272738116314073</v>
      </c>
      <c r="K154" s="21">
        <v>3491800.49</v>
      </c>
      <c r="L154" s="21">
        <v>3639194.09</v>
      </c>
      <c r="M154" s="25">
        <f t="shared" si="64"/>
        <v>-4.0501714488110643E-2</v>
      </c>
      <c r="N154" s="10"/>
      <c r="R154" s="2"/>
    </row>
    <row r="155" spans="1:18" ht="15.75" x14ac:dyDescent="0.25">
      <c r="A155" s="19"/>
      <c r="B155" s="20">
        <f>DATE(2019,9,1)</f>
        <v>43709</v>
      </c>
      <c r="C155" s="21">
        <v>70924</v>
      </c>
      <c r="D155" s="21">
        <v>77092</v>
      </c>
      <c r="E155" s="23">
        <f t="shared" si="60"/>
        <v>-8.0008301769314588E-2</v>
      </c>
      <c r="F155" s="21">
        <f>+C155-32729</f>
        <v>38195</v>
      </c>
      <c r="G155" s="21">
        <f>+D155-35421</f>
        <v>41671</v>
      </c>
      <c r="H155" s="23">
        <f t="shared" si="61"/>
        <v>-8.3415324806220159E-2</v>
      </c>
      <c r="I155" s="24">
        <f t="shared" si="62"/>
        <v>47.535936354407532</v>
      </c>
      <c r="J155" s="24">
        <f t="shared" si="63"/>
        <v>88.269112449273464</v>
      </c>
      <c r="K155" s="21">
        <v>3371438.75</v>
      </c>
      <c r="L155" s="21">
        <v>3422069</v>
      </c>
      <c r="M155" s="25">
        <f t="shared" si="64"/>
        <v>-1.4795215993599195E-2</v>
      </c>
      <c r="N155" s="10"/>
      <c r="R155" s="2"/>
    </row>
    <row r="156" spans="1:18" ht="15.75" x14ac:dyDescent="0.25">
      <c r="A156" s="19"/>
      <c r="B156" s="20">
        <f>DATE(2019,10,1)</f>
        <v>43739</v>
      </c>
      <c r="C156" s="21">
        <v>70482</v>
      </c>
      <c r="D156" s="21">
        <v>82223</v>
      </c>
      <c r="E156" s="23">
        <f t="shared" si="60"/>
        <v>-0.14279459518626175</v>
      </c>
      <c r="F156" s="21">
        <f>+C156-33635</f>
        <v>36847</v>
      </c>
      <c r="G156" s="21">
        <f>+D156-37480</f>
        <v>44743</v>
      </c>
      <c r="H156" s="23">
        <f t="shared" si="61"/>
        <v>-0.17647453232907942</v>
      </c>
      <c r="I156" s="24">
        <f t="shared" si="62"/>
        <v>46.451715189693822</v>
      </c>
      <c r="J156" s="24">
        <f t="shared" si="63"/>
        <v>88.854175102450682</v>
      </c>
      <c r="K156" s="21">
        <v>3274009.79</v>
      </c>
      <c r="L156" s="21">
        <v>3392612.93</v>
      </c>
      <c r="M156" s="25">
        <f t="shared" si="64"/>
        <v>-3.4959231261315782E-2</v>
      </c>
      <c r="N156" s="10"/>
      <c r="R156" s="2"/>
    </row>
    <row r="157" spans="1:18" ht="15.75" x14ac:dyDescent="0.25">
      <c r="A157" s="19"/>
      <c r="B157" s="20">
        <f>DATE(2019,11,1)</f>
        <v>43770</v>
      </c>
      <c r="C157" s="21">
        <v>73056</v>
      </c>
      <c r="D157" s="21">
        <v>76303</v>
      </c>
      <c r="E157" s="23">
        <f t="shared" si="60"/>
        <v>-4.2554028019868156E-2</v>
      </c>
      <c r="F157" s="21">
        <f>+C157-35437</f>
        <v>37619</v>
      </c>
      <c r="G157" s="21">
        <f>+D157-35181</f>
        <v>41122</v>
      </c>
      <c r="H157" s="23">
        <f t="shared" si="61"/>
        <v>-8.5185545450124023E-2</v>
      </c>
      <c r="I157" s="24">
        <f t="shared" si="62"/>
        <v>46.231660643889619</v>
      </c>
      <c r="J157" s="24">
        <f t="shared" si="63"/>
        <v>89.781764533879155</v>
      </c>
      <c r="K157" s="21">
        <v>3377500.2</v>
      </c>
      <c r="L157" s="21">
        <v>3366475.85</v>
      </c>
      <c r="M157" s="25">
        <f t="shared" si="64"/>
        <v>3.2747450126517593E-3</v>
      </c>
      <c r="N157" s="10"/>
      <c r="R157" s="2"/>
    </row>
    <row r="158" spans="1:18" ht="15.75" x14ac:dyDescent="0.25">
      <c r="A158" s="19"/>
      <c r="B158" s="20">
        <f>DATE(2019,12,1)</f>
        <v>43800</v>
      </c>
      <c r="C158" s="21">
        <v>74995</v>
      </c>
      <c r="D158" s="21">
        <v>85578</v>
      </c>
      <c r="E158" s="23">
        <f t="shared" si="60"/>
        <v>-0.12366496062072029</v>
      </c>
      <c r="F158" s="21">
        <f>+C158-35471</f>
        <v>39524</v>
      </c>
      <c r="G158" s="21">
        <f>+D158-40324</f>
        <v>45254</v>
      </c>
      <c r="H158" s="23">
        <f t="shared" si="61"/>
        <v>-0.12661864144606003</v>
      </c>
      <c r="I158" s="24">
        <f t="shared" si="62"/>
        <v>47.131188612574178</v>
      </c>
      <c r="J158" s="24">
        <f t="shared" si="63"/>
        <v>89.429295870863285</v>
      </c>
      <c r="K158" s="21">
        <v>3534603.49</v>
      </c>
      <c r="L158" s="21">
        <v>3763977.96</v>
      </c>
      <c r="M158" s="25">
        <f t="shared" si="64"/>
        <v>-6.0939376488803813E-2</v>
      </c>
      <c r="N158" s="10"/>
      <c r="R158" s="2"/>
    </row>
    <row r="159" spans="1:18" ht="15.75" x14ac:dyDescent="0.25">
      <c r="A159" s="19"/>
      <c r="B159" s="20">
        <f>DATE(2020,1,1)</f>
        <v>43831</v>
      </c>
      <c r="C159" s="21">
        <v>73278</v>
      </c>
      <c r="D159" s="21">
        <v>73768</v>
      </c>
      <c r="E159" s="23">
        <f t="shared" si="60"/>
        <v>-6.642446589307017E-3</v>
      </c>
      <c r="F159" s="21">
        <f>+C159-33277</f>
        <v>40001</v>
      </c>
      <c r="G159" s="21">
        <f>+D159-34302</f>
        <v>39466</v>
      </c>
      <c r="H159" s="23">
        <f t="shared" si="61"/>
        <v>1.3555972229260629E-2</v>
      </c>
      <c r="I159" s="24">
        <f t="shared" si="62"/>
        <v>46.581612762357054</v>
      </c>
      <c r="J159" s="24">
        <f t="shared" si="63"/>
        <v>85.333052173695663</v>
      </c>
      <c r="K159" s="21">
        <v>3413407.42</v>
      </c>
      <c r="L159" s="21">
        <v>3334980.73</v>
      </c>
      <c r="M159" s="25">
        <f t="shared" si="64"/>
        <v>2.3516384755842334E-2</v>
      </c>
      <c r="N159" s="10"/>
      <c r="R159" s="2"/>
    </row>
    <row r="160" spans="1:18" ht="15.75" x14ac:dyDescent="0.25">
      <c r="A160" s="19"/>
      <c r="B160" s="20">
        <f>DATE(2020,2,1)</f>
        <v>43862</v>
      </c>
      <c r="C160" s="21">
        <v>79497</v>
      </c>
      <c r="D160" s="21">
        <v>79911</v>
      </c>
      <c r="E160" s="23">
        <f t="shared" si="60"/>
        <v>-5.1807635995044484E-3</v>
      </c>
      <c r="F160" s="21">
        <f>+C160-36820</f>
        <v>42677</v>
      </c>
      <c r="G160" s="21">
        <f>+D160-38130</f>
        <v>41781</v>
      </c>
      <c r="H160" s="23">
        <f t="shared" si="61"/>
        <v>2.1445154496062803E-2</v>
      </c>
      <c r="I160" s="24">
        <f t="shared" si="62"/>
        <v>48.709759110406686</v>
      </c>
      <c r="J160" s="24">
        <f t="shared" si="63"/>
        <v>90.734581156126254</v>
      </c>
      <c r="K160" s="21">
        <v>3872279.72</v>
      </c>
      <c r="L160" s="21">
        <v>3559615.84</v>
      </c>
      <c r="M160" s="25">
        <f t="shared" si="64"/>
        <v>8.7836411021252322E-2</v>
      </c>
      <c r="N160" s="10"/>
      <c r="R160" s="2"/>
    </row>
    <row r="161" spans="1:18" ht="15.75" x14ac:dyDescent="0.25">
      <c r="A161" s="19"/>
      <c r="B161" s="20">
        <f>DATE(2020,3,1)</f>
        <v>43891</v>
      </c>
      <c r="C161" s="21">
        <v>43437</v>
      </c>
      <c r="D161" s="21">
        <v>51590</v>
      </c>
      <c r="E161" s="23">
        <f t="shared" si="60"/>
        <v>-0.1580345028106222</v>
      </c>
      <c r="F161" s="21">
        <f>+C161-19777</f>
        <v>23660</v>
      </c>
      <c r="G161" s="21">
        <f>+D161-24047</f>
        <v>27543</v>
      </c>
      <c r="H161" s="23">
        <f t="shared" si="61"/>
        <v>-0.14097955923465127</v>
      </c>
      <c r="I161" s="24">
        <f t="shared" si="62"/>
        <v>48.874335474365168</v>
      </c>
      <c r="J161" s="24">
        <f t="shared" si="63"/>
        <v>89.727578613693993</v>
      </c>
      <c r="K161" s="21">
        <v>2122954.5099999998</v>
      </c>
      <c r="L161" s="21">
        <v>2276394.5699999998</v>
      </c>
      <c r="M161" s="25">
        <f t="shared" si="64"/>
        <v>-6.7404861188014545E-2</v>
      </c>
      <c r="N161" s="10"/>
      <c r="R161" s="2"/>
    </row>
    <row r="162" spans="1:18" ht="15.75" thickBot="1" x14ac:dyDescent="0.25">
      <c r="A162" s="38"/>
      <c r="B162" s="45"/>
      <c r="C162" s="21"/>
      <c r="D162" s="21"/>
      <c r="E162" s="23"/>
      <c r="F162" s="21"/>
      <c r="G162" s="21"/>
      <c r="H162" s="23"/>
      <c r="I162" s="24"/>
      <c r="J162" s="24"/>
      <c r="K162" s="21"/>
      <c r="L162" s="21"/>
      <c r="M162" s="25"/>
      <c r="N162" s="10"/>
      <c r="R162" s="2"/>
    </row>
    <row r="163" spans="1:18" ht="17.25" thickTop="1" thickBot="1" x14ac:dyDescent="0.3">
      <c r="A163" s="26" t="s">
        <v>14</v>
      </c>
      <c r="B163" s="27"/>
      <c r="C163" s="28">
        <f>SUM(C153:C162)</f>
        <v>646132</v>
      </c>
      <c r="D163" s="28">
        <f>SUM(D153:D162)</f>
        <v>692702</v>
      </c>
      <c r="E163" s="279">
        <f>(+C163-D163)/D163</f>
        <v>-6.7229486850045192E-2</v>
      </c>
      <c r="F163" s="28">
        <f>SUM(F153:F162)</f>
        <v>345381</v>
      </c>
      <c r="G163" s="28">
        <f>SUM(G153:G162)</f>
        <v>372892</v>
      </c>
      <c r="H163" s="42">
        <f>(+F163-G163)/G163</f>
        <v>-7.3777393990753351E-2</v>
      </c>
      <c r="I163" s="43">
        <f>K163/C163</f>
        <v>46.205190657636521</v>
      </c>
      <c r="J163" s="43">
        <f>K163/F163</f>
        <v>86.439764347199187</v>
      </c>
      <c r="K163" s="28">
        <f>SUM(K153:K162)</f>
        <v>29854652.25</v>
      </c>
      <c r="L163" s="28">
        <f>SUM(L153:L162)</f>
        <v>30351913.470000003</v>
      </c>
      <c r="M163" s="44">
        <f>(+K163-L163)/L163</f>
        <v>-1.6383191804085047E-2</v>
      </c>
      <c r="N163" s="10"/>
      <c r="R163" s="2"/>
    </row>
    <row r="164" spans="1:18" ht="16.5" thickTop="1" thickBot="1" x14ac:dyDescent="0.25">
      <c r="A164" s="63"/>
      <c r="B164" s="34"/>
      <c r="C164" s="35"/>
      <c r="D164" s="35"/>
      <c r="E164" s="29"/>
      <c r="F164" s="35"/>
      <c r="G164" s="35"/>
      <c r="H164" s="29"/>
      <c r="I164" s="36"/>
      <c r="J164" s="36"/>
      <c r="K164" s="35"/>
      <c r="L164" s="35"/>
      <c r="M164" s="37"/>
      <c r="N164" s="10"/>
      <c r="R164" s="2"/>
    </row>
    <row r="165" spans="1:18" ht="17.25" thickTop="1" thickBot="1" x14ac:dyDescent="0.3">
      <c r="A165" s="64" t="s">
        <v>20</v>
      </c>
      <c r="B165" s="65"/>
      <c r="C165" s="28">
        <f>C163+C151+C67+C91+C103+C43+C19+C115+C127+C55+C139+C31+C79</f>
        <v>26040853</v>
      </c>
      <c r="D165" s="28">
        <f>D163+D151+D67+D91+D103+D43+D19+D115+D127+D55+D139+D31+D79</f>
        <v>28429278</v>
      </c>
      <c r="E165" s="278">
        <f>(+C165-D165)/D165</f>
        <v>-8.401286167028231E-2</v>
      </c>
      <c r="F165" s="28">
        <f>F163+F151+F67+F91+F103+F43+F19+F115+F127+F55+F139+F31+F79</f>
        <v>13750911</v>
      </c>
      <c r="G165" s="28">
        <f>G163+G151+G67+G91+G103+G43+G19+G115+G127+G55+G139+G31+G79</f>
        <v>14864507</v>
      </c>
      <c r="H165" s="30">
        <f>(+F165-G165)/G165</f>
        <v>-7.4916443579326239E-2</v>
      </c>
      <c r="I165" s="31">
        <f>K165/C165</f>
        <v>47.35908730332298</v>
      </c>
      <c r="J165" s="31">
        <f>K165/F165</f>
        <v>89.686496456852936</v>
      </c>
      <c r="K165" s="28">
        <f>K163+K151+K67+K91+K103+K43+K19+K115+K127+K55+K139+K31+K79</f>
        <v>1233271030.6800001</v>
      </c>
      <c r="L165" s="28">
        <f>L163+L151+L67+L91+L103+L43+L19+L115+L127+L55+L139+L31+L79</f>
        <v>1300753084.9500003</v>
      </c>
      <c r="M165" s="32">
        <f>(+K165-L165)/L165</f>
        <v>-5.1879219085299473E-2</v>
      </c>
      <c r="N165" s="10"/>
      <c r="R165" s="2"/>
    </row>
    <row r="166" spans="1:18" ht="17.25" thickTop="1" thickBot="1" x14ac:dyDescent="0.3">
      <c r="A166" s="64"/>
      <c r="B166" s="65"/>
      <c r="C166" s="28"/>
      <c r="D166" s="28"/>
      <c r="E166" s="29"/>
      <c r="F166" s="28"/>
      <c r="G166" s="28"/>
      <c r="H166" s="30"/>
      <c r="I166" s="31"/>
      <c r="J166" s="31"/>
      <c r="K166" s="28"/>
      <c r="L166" s="28"/>
      <c r="M166" s="32"/>
      <c r="N166" s="10"/>
      <c r="R166" s="2"/>
    </row>
    <row r="167" spans="1:18" ht="17.25" thickTop="1" thickBot="1" x14ac:dyDescent="0.3">
      <c r="A167" s="64" t="s">
        <v>21</v>
      </c>
      <c r="B167" s="65"/>
      <c r="C167" s="28">
        <f>SUM(C17+C29+C41+C53+C65+C77+C89+C101+C113+C125+C137+C149+C161)</f>
        <v>1538387</v>
      </c>
      <c r="D167" s="28">
        <f>SUM(D17+D29+D41+D53+D65+D77+D89+D101+D113+D125+D137+D149+D161)</f>
        <v>3499762</v>
      </c>
      <c r="E167" s="278">
        <f>(+C167-D167)/D167</f>
        <v>-0.5604309664485756</v>
      </c>
      <c r="F167" s="28">
        <f>SUM(F17+F29+F41+F53+F65+F77+F89+F101+F113+F125+F137+F149+F161)</f>
        <v>808977</v>
      </c>
      <c r="G167" s="28">
        <f>SUM(G17+G29+G41+G53+G65+G77+G89+G101+G113+G125+G137+G149+G161)</f>
        <v>1807651</v>
      </c>
      <c r="H167" s="30">
        <f>(+F167-G167)/G167</f>
        <v>-0.55247058198734156</v>
      </c>
      <c r="I167" s="31">
        <f>K167/C167</f>
        <v>49.863169781075896</v>
      </c>
      <c r="J167" s="31">
        <f>K167/F167</f>
        <v>94.822043358463844</v>
      </c>
      <c r="K167" s="28">
        <f>SUM(K17+K29+K41+K53+K65+K77+K89+K101+K113+K125+K137+K149+K161)</f>
        <v>76708852.170000002</v>
      </c>
      <c r="L167" s="28">
        <f>SUM(L17+L29+L41+L53+L65+L77+L89+L101+L113+L125+L137+L149+L161)</f>
        <v>166416759.68000001</v>
      </c>
      <c r="M167" s="44">
        <f>(+K167-L167)/L167</f>
        <v>-0.53905572781550271</v>
      </c>
      <c r="N167" s="10"/>
      <c r="R167" s="2"/>
    </row>
    <row r="168" spans="1:18" ht="15.75" thickTop="1" x14ac:dyDescent="0.2">
      <c r="A168" s="66"/>
      <c r="B168" s="67"/>
      <c r="C168" s="68"/>
      <c r="D168" s="67"/>
      <c r="E168" s="67"/>
      <c r="F168" s="67"/>
      <c r="G168" s="67"/>
      <c r="H168" s="67"/>
      <c r="I168" s="67"/>
      <c r="J168" s="67"/>
      <c r="K168" s="68"/>
      <c r="L168" s="68"/>
      <c r="M168" s="67"/>
      <c r="R168" s="2"/>
    </row>
    <row r="169" spans="1:18" ht="18.75" x14ac:dyDescent="0.3">
      <c r="A169" s="264" t="s">
        <v>22</v>
      </c>
      <c r="B169" s="70"/>
      <c r="C169" s="71"/>
      <c r="D169" s="71"/>
      <c r="E169" s="71"/>
      <c r="F169" s="71"/>
      <c r="G169" s="71"/>
      <c r="H169" s="71"/>
      <c r="I169" s="71"/>
      <c r="J169" s="71"/>
      <c r="K169" s="198"/>
      <c r="L169" s="198"/>
      <c r="M169" s="71"/>
      <c r="N169" s="2"/>
      <c r="O169" s="2"/>
      <c r="P169" s="2"/>
      <c r="Q169" s="2"/>
      <c r="R169" s="2"/>
    </row>
    <row r="170" spans="1:18" ht="18" x14ac:dyDescent="0.25">
      <c r="A170" s="69"/>
      <c r="B170" s="70"/>
      <c r="C170" s="71"/>
      <c r="D170" s="71"/>
      <c r="E170" s="71"/>
      <c r="F170" s="71"/>
      <c r="G170" s="71"/>
      <c r="H170" s="71"/>
      <c r="I170" s="71"/>
      <c r="J170" s="71"/>
      <c r="K170" s="198"/>
      <c r="L170" s="198"/>
      <c r="M170" s="71"/>
      <c r="N170" s="2"/>
      <c r="O170" s="2"/>
      <c r="P170" s="2"/>
      <c r="Q170" s="2"/>
      <c r="R170" s="2"/>
    </row>
    <row r="171" spans="1:18" ht="15.75" x14ac:dyDescent="0.25">
      <c r="A171" s="72"/>
      <c r="B171" s="73"/>
      <c r="C171" s="74"/>
      <c r="D171" s="74"/>
      <c r="E171" s="74"/>
      <c r="F171" s="74"/>
      <c r="G171" s="74"/>
      <c r="H171" s="74"/>
      <c r="I171" s="74"/>
      <c r="J171" s="74"/>
      <c r="K171" s="192"/>
      <c r="L171" s="192"/>
      <c r="M171" s="75"/>
      <c r="N171" s="2"/>
      <c r="O171" s="2"/>
      <c r="P171" s="2"/>
      <c r="Q171" s="2"/>
      <c r="R171" s="2"/>
    </row>
    <row r="172" spans="1:18" x14ac:dyDescent="0.2">
      <c r="A172" s="2"/>
      <c r="B172" s="73"/>
      <c r="C172" s="74"/>
      <c r="D172" s="74"/>
      <c r="E172" s="74"/>
      <c r="F172" s="74"/>
      <c r="G172" s="74"/>
      <c r="H172" s="74"/>
      <c r="I172" s="74"/>
      <c r="J172" s="74"/>
      <c r="K172" s="192"/>
      <c r="L172" s="192"/>
      <c r="M172" s="75"/>
      <c r="N172" s="2"/>
      <c r="O172" s="2"/>
      <c r="P172" s="2"/>
      <c r="Q172" s="2"/>
      <c r="R172" s="2"/>
    </row>
    <row r="173" spans="1:18" x14ac:dyDescent="0.2">
      <c r="A173" s="2"/>
      <c r="B173" s="73"/>
      <c r="C173" s="74"/>
      <c r="D173" s="74"/>
      <c r="E173" s="74"/>
      <c r="F173" s="74"/>
      <c r="G173" s="74"/>
      <c r="H173" s="74"/>
      <c r="I173" s="74"/>
      <c r="J173" s="74"/>
      <c r="K173" s="192"/>
      <c r="L173" s="192"/>
      <c r="M173" s="75"/>
      <c r="N173" s="2"/>
      <c r="O173" s="2"/>
      <c r="P173" s="2"/>
      <c r="Q173" s="2"/>
      <c r="R173" s="2"/>
    </row>
    <row r="174" spans="1:18" x14ac:dyDescent="0.2">
      <c r="A174" s="2"/>
      <c r="B174" s="73"/>
      <c r="C174" s="74"/>
      <c r="D174" s="74"/>
      <c r="E174" s="74"/>
      <c r="F174" s="74"/>
      <c r="G174" s="74"/>
      <c r="H174" s="74"/>
      <c r="I174" s="74"/>
      <c r="J174" s="74"/>
      <c r="K174" s="192"/>
      <c r="L174" s="192"/>
      <c r="M174" s="75"/>
      <c r="N174" s="2"/>
      <c r="O174" s="2"/>
      <c r="P174" s="2"/>
      <c r="Q174" s="2"/>
      <c r="R174" s="2"/>
    </row>
    <row r="175" spans="1:18" x14ac:dyDescent="0.2">
      <c r="A175" s="2"/>
      <c r="B175" s="73"/>
      <c r="C175" s="74"/>
      <c r="D175" s="74"/>
      <c r="E175" s="74"/>
      <c r="F175" s="74"/>
      <c r="G175" s="74"/>
      <c r="H175" s="74"/>
      <c r="I175" s="74"/>
      <c r="J175" s="74"/>
      <c r="K175" s="192"/>
      <c r="L175" s="192"/>
      <c r="M175" s="75"/>
      <c r="N175" s="2"/>
      <c r="O175" s="2"/>
      <c r="P175" s="2"/>
      <c r="Q175" s="2"/>
      <c r="R175" s="2"/>
    </row>
    <row r="176" spans="1:18" x14ac:dyDescent="0.2">
      <c r="A176" s="2"/>
      <c r="B176" s="73"/>
      <c r="C176" s="74"/>
      <c r="D176" s="74"/>
      <c r="E176" s="74"/>
      <c r="F176" s="74"/>
      <c r="G176" s="74"/>
      <c r="H176" s="74"/>
      <c r="I176" s="74"/>
      <c r="J176" s="74"/>
      <c r="K176" s="192"/>
      <c r="L176" s="192"/>
      <c r="M176" s="75"/>
      <c r="N176" s="2"/>
      <c r="O176" s="2"/>
      <c r="P176" s="2"/>
      <c r="Q176" s="2"/>
      <c r="R176" s="2"/>
    </row>
    <row r="177" spans="1:18" x14ac:dyDescent="0.2">
      <c r="A177" s="2"/>
      <c r="B177" s="73"/>
      <c r="C177" s="74"/>
      <c r="D177" s="74"/>
      <c r="E177" s="74"/>
      <c r="F177" s="74"/>
      <c r="G177" s="74"/>
      <c r="H177" s="74"/>
      <c r="I177" s="74"/>
      <c r="J177" s="74"/>
      <c r="K177" s="192"/>
      <c r="L177" s="192"/>
      <c r="M177" s="75"/>
      <c r="N177" s="2"/>
      <c r="O177" s="2"/>
      <c r="P177" s="2"/>
      <c r="Q177" s="2"/>
      <c r="R177" s="2"/>
    </row>
    <row r="178" spans="1:18" x14ac:dyDescent="0.2">
      <c r="A178" s="2"/>
      <c r="B178" s="73"/>
      <c r="C178" s="74"/>
      <c r="D178" s="74"/>
      <c r="E178" s="74"/>
      <c r="F178" s="74"/>
      <c r="G178" s="74"/>
      <c r="H178" s="74"/>
      <c r="I178" s="74"/>
      <c r="J178" s="74"/>
      <c r="K178" s="192"/>
      <c r="L178" s="192"/>
      <c r="M178" s="75"/>
      <c r="N178" s="2"/>
      <c r="O178" s="2"/>
      <c r="P178" s="2"/>
      <c r="Q178" s="2"/>
      <c r="R178" s="2"/>
    </row>
    <row r="179" spans="1:18" x14ac:dyDescent="0.2">
      <c r="A179" s="2"/>
      <c r="B179" s="73"/>
      <c r="C179" s="74"/>
      <c r="D179" s="74"/>
      <c r="E179" s="74"/>
      <c r="F179" s="74"/>
      <c r="G179" s="74"/>
      <c r="H179" s="74"/>
      <c r="I179" s="74"/>
      <c r="J179" s="74"/>
      <c r="K179" s="192"/>
      <c r="L179" s="192"/>
      <c r="M179" s="75"/>
      <c r="N179" s="2"/>
      <c r="O179" s="2"/>
      <c r="P179" s="2"/>
      <c r="Q179" s="2"/>
      <c r="R179" s="2"/>
    </row>
    <row r="180" spans="1:18" x14ac:dyDescent="0.2">
      <c r="A180" s="2"/>
      <c r="B180" s="73"/>
      <c r="C180" s="74"/>
      <c r="D180" s="74"/>
      <c r="E180" s="74"/>
      <c r="F180" s="74"/>
      <c r="G180" s="74"/>
      <c r="H180" s="74"/>
      <c r="I180" s="74"/>
      <c r="J180" s="74"/>
      <c r="K180" s="192"/>
      <c r="L180" s="192"/>
      <c r="M180" s="74"/>
      <c r="N180" s="2"/>
      <c r="O180" s="2"/>
      <c r="P180" s="2"/>
      <c r="Q180" s="2"/>
      <c r="R180" s="2"/>
    </row>
    <row r="181" spans="1:18" x14ac:dyDescent="0.2">
      <c r="A181" s="2"/>
      <c r="B181" s="73"/>
      <c r="C181" s="74"/>
      <c r="D181" s="74"/>
      <c r="E181" s="74"/>
      <c r="F181" s="74"/>
      <c r="G181" s="74"/>
      <c r="H181" s="74"/>
      <c r="I181" s="74"/>
      <c r="J181" s="74"/>
      <c r="K181" s="192"/>
      <c r="L181" s="192"/>
      <c r="M181" s="74"/>
      <c r="N181" s="2"/>
      <c r="O181" s="2"/>
      <c r="P181" s="2"/>
      <c r="Q181" s="2"/>
      <c r="R181" s="2"/>
    </row>
    <row r="182" spans="1:18" x14ac:dyDescent="0.2">
      <c r="A182" s="2"/>
      <c r="B182" s="70"/>
      <c r="C182" s="74"/>
      <c r="D182" s="74"/>
      <c r="E182" s="74"/>
      <c r="F182" s="74"/>
      <c r="G182" s="74"/>
      <c r="H182" s="74"/>
      <c r="I182" s="74"/>
      <c r="J182" s="74"/>
      <c r="K182" s="192"/>
      <c r="L182" s="192"/>
      <c r="M182" s="74"/>
      <c r="N182" s="2"/>
      <c r="O182" s="2"/>
      <c r="P182" s="2"/>
      <c r="Q182" s="2"/>
      <c r="R182" s="2"/>
    </row>
    <row r="183" spans="1:18" ht="15.75" x14ac:dyDescent="0.25">
      <c r="A183" s="76"/>
      <c r="B183" s="70"/>
      <c r="C183" s="74"/>
      <c r="D183" s="74"/>
      <c r="E183" s="74"/>
      <c r="F183" s="74"/>
      <c r="G183" s="74"/>
      <c r="H183" s="74"/>
      <c r="I183" s="74"/>
      <c r="J183" s="74"/>
      <c r="K183" s="192"/>
      <c r="L183" s="192"/>
      <c r="M183" s="75"/>
      <c r="N183" s="2"/>
      <c r="O183" s="2"/>
      <c r="P183" s="2"/>
      <c r="Q183" s="2"/>
      <c r="R183" s="2"/>
    </row>
    <row r="184" spans="1:18" ht="15.75" x14ac:dyDescent="0.25">
      <c r="A184" s="76"/>
      <c r="B184" s="70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ht="15.75" x14ac:dyDescent="0.25">
      <c r="A185" s="76"/>
      <c r="B185" s="70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70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ht="15.75" x14ac:dyDescent="0.25">
      <c r="A187" s="76"/>
      <c r="B187" s="73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73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73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77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77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77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77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5"/>
      <c r="N193" s="2"/>
      <c r="O193" s="2"/>
      <c r="P193" s="2"/>
      <c r="Q193" s="2"/>
      <c r="R193" s="2"/>
    </row>
    <row r="194" spans="1:18" x14ac:dyDescent="0.2">
      <c r="A194" s="2"/>
      <c r="B194" s="77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5"/>
      <c r="N194" s="2"/>
      <c r="O194" s="2"/>
      <c r="P194" s="2"/>
      <c r="Q194" s="2"/>
      <c r="R194" s="2"/>
    </row>
    <row r="195" spans="1:18" x14ac:dyDescent="0.2">
      <c r="A195" s="2"/>
      <c r="B195" s="77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5"/>
      <c r="N195" s="2"/>
      <c r="O195" s="2"/>
      <c r="P195" s="2"/>
      <c r="Q195" s="2"/>
      <c r="R195" s="2"/>
    </row>
    <row r="196" spans="1:18" x14ac:dyDescent="0.2">
      <c r="A196" s="2"/>
      <c r="B196" s="77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x14ac:dyDescent="0.2">
      <c r="A197" s="2"/>
      <c r="B197" s="77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77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2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ht="15.75" x14ac:dyDescent="0.25">
      <c r="A200" s="76"/>
      <c r="B200" s="2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2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2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ht="15.75" x14ac:dyDescent="0.25">
      <c r="A203" s="76"/>
      <c r="B203" s="2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ht="15.75" x14ac:dyDescent="0.25">
      <c r="A204" s="76"/>
      <c r="B204" s="2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ht="15.75" x14ac:dyDescent="0.25">
      <c r="A205" s="76"/>
      <c r="B205" s="77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77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77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77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77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77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77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77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77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77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77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77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2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ht="15.75" x14ac:dyDescent="0.25">
      <c r="A218" s="76"/>
      <c r="B218" s="2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2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2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ht="15.75" x14ac:dyDescent="0.25">
      <c r="A221" s="76"/>
      <c r="B221" s="77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77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77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2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2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ht="15.75" x14ac:dyDescent="0.25">
      <c r="A227" s="76"/>
      <c r="B227" s="2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2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ht="15.75" x14ac:dyDescent="0.25">
      <c r="A230" s="76"/>
      <c r="B230" s="76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2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2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2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2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74"/>
      <c r="D249" s="74"/>
      <c r="E249" s="74"/>
      <c r="F249" s="74"/>
      <c r="G249" s="74"/>
      <c r="H249" s="74"/>
      <c r="I249" s="74"/>
      <c r="J249" s="74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74"/>
      <c r="D250" s="74"/>
      <c r="E250" s="74"/>
      <c r="F250" s="74"/>
      <c r="G250" s="74"/>
      <c r="H250" s="74"/>
      <c r="I250" s="74"/>
      <c r="J250" s="74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74"/>
      <c r="D251" s="74"/>
      <c r="E251" s="74"/>
      <c r="F251" s="74"/>
      <c r="G251" s="74"/>
      <c r="H251" s="74"/>
      <c r="I251" s="74"/>
      <c r="J251" s="74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74"/>
      <c r="D252" s="74"/>
      <c r="E252" s="74"/>
      <c r="F252" s="74"/>
      <c r="G252" s="74"/>
      <c r="H252" s="74"/>
      <c r="I252" s="74"/>
      <c r="J252" s="74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74"/>
      <c r="D253" s="74"/>
      <c r="E253" s="74"/>
      <c r="F253" s="74"/>
      <c r="G253" s="74"/>
      <c r="H253" s="74"/>
      <c r="I253" s="74"/>
      <c r="J253" s="74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74"/>
      <c r="D254" s="74"/>
      <c r="E254" s="74"/>
      <c r="F254" s="74"/>
      <c r="G254" s="74"/>
      <c r="H254" s="74"/>
      <c r="I254" s="74"/>
      <c r="J254" s="74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74"/>
      <c r="D255" s="74"/>
      <c r="E255" s="74"/>
      <c r="F255" s="74"/>
      <c r="G255" s="74"/>
      <c r="H255" s="74"/>
      <c r="I255" s="74"/>
      <c r="J255" s="74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74"/>
      <c r="D256" s="74"/>
      <c r="E256" s="74"/>
      <c r="F256" s="74"/>
      <c r="G256" s="74"/>
      <c r="H256" s="74"/>
      <c r="I256" s="74"/>
      <c r="J256" s="74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74"/>
      <c r="D257" s="74"/>
      <c r="E257" s="74"/>
      <c r="F257" s="74"/>
      <c r="G257" s="74"/>
      <c r="H257" s="74"/>
      <c r="I257" s="74"/>
      <c r="J257" s="74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74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74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74"/>
      <c r="D260" s="74"/>
      <c r="E260" s="74"/>
      <c r="F260" s="74"/>
      <c r="G260" s="74"/>
      <c r="H260" s="74"/>
      <c r="I260" s="74"/>
      <c r="J260" s="74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74"/>
      <c r="D261" s="74"/>
      <c r="E261" s="74"/>
      <c r="F261" s="74"/>
      <c r="G261" s="74"/>
      <c r="H261" s="74"/>
      <c r="I261" s="74"/>
      <c r="J261" s="74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74"/>
      <c r="D262" s="74"/>
      <c r="E262" s="74"/>
      <c r="F262" s="74"/>
      <c r="G262" s="74"/>
      <c r="H262" s="74"/>
      <c r="I262" s="74"/>
      <c r="J262" s="74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74"/>
      <c r="D263" s="74"/>
      <c r="E263" s="74"/>
      <c r="F263" s="74"/>
      <c r="G263" s="74"/>
      <c r="H263" s="74"/>
      <c r="I263" s="74"/>
      <c r="J263" s="74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74"/>
      <c r="D264" s="74"/>
      <c r="E264" s="74"/>
      <c r="F264" s="74"/>
      <c r="G264" s="74"/>
      <c r="H264" s="74"/>
      <c r="I264" s="74"/>
      <c r="J264" s="74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74"/>
      <c r="D265" s="74"/>
      <c r="E265" s="74"/>
      <c r="F265" s="74"/>
      <c r="G265" s="74"/>
      <c r="H265" s="74"/>
      <c r="I265" s="74"/>
      <c r="J265" s="74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74"/>
      <c r="D266" s="74"/>
      <c r="E266" s="74"/>
      <c r="F266" s="74"/>
      <c r="G266" s="74"/>
      <c r="H266" s="74"/>
      <c r="I266" s="74"/>
      <c r="J266" s="74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74"/>
      <c r="D267" s="74"/>
      <c r="E267" s="74"/>
      <c r="F267" s="74"/>
      <c r="G267" s="74"/>
      <c r="H267" s="74"/>
      <c r="I267" s="74"/>
      <c r="J267" s="74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74"/>
      <c r="D268" s="74"/>
      <c r="E268" s="74"/>
      <c r="F268" s="74"/>
      <c r="G268" s="74"/>
      <c r="H268" s="74"/>
      <c r="I268" s="74"/>
      <c r="J268" s="74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74"/>
      <c r="D269" s="74"/>
      <c r="E269" s="74"/>
      <c r="F269" s="74"/>
      <c r="G269" s="74"/>
      <c r="H269" s="74"/>
      <c r="I269" s="74"/>
      <c r="J269" s="74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74"/>
      <c r="D270" s="74"/>
      <c r="E270" s="74"/>
      <c r="F270" s="74"/>
      <c r="G270" s="74"/>
      <c r="H270" s="74"/>
      <c r="I270" s="74"/>
      <c r="J270" s="74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74"/>
      <c r="D271" s="74"/>
      <c r="E271" s="74"/>
      <c r="F271" s="74"/>
      <c r="G271" s="74"/>
      <c r="H271" s="74"/>
      <c r="I271" s="74"/>
      <c r="J271" s="74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74"/>
      <c r="D272" s="74"/>
      <c r="E272" s="74"/>
      <c r="F272" s="74"/>
      <c r="G272" s="74"/>
      <c r="H272" s="74"/>
      <c r="I272" s="74"/>
      <c r="J272" s="74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74"/>
      <c r="D273" s="74"/>
      <c r="E273" s="74"/>
      <c r="F273" s="74"/>
      <c r="G273" s="74"/>
      <c r="H273" s="74"/>
      <c r="I273" s="74"/>
      <c r="J273" s="74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74"/>
      <c r="D274" s="74"/>
      <c r="E274" s="74"/>
      <c r="F274" s="74"/>
      <c r="G274" s="74"/>
      <c r="H274" s="74"/>
      <c r="I274" s="74"/>
      <c r="J274" s="74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74"/>
      <c r="D275" s="74"/>
      <c r="E275" s="74"/>
      <c r="F275" s="74"/>
      <c r="G275" s="74"/>
      <c r="H275" s="74"/>
      <c r="I275" s="74"/>
      <c r="J275" s="74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74"/>
      <c r="D276" s="74"/>
      <c r="E276" s="74"/>
      <c r="F276" s="74"/>
      <c r="G276" s="74"/>
      <c r="H276" s="74"/>
      <c r="I276" s="74"/>
      <c r="J276" s="74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74"/>
      <c r="D277" s="74"/>
      <c r="E277" s="74"/>
      <c r="F277" s="74"/>
      <c r="G277" s="74"/>
      <c r="H277" s="74"/>
      <c r="I277" s="74"/>
      <c r="J277" s="74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74"/>
      <c r="D278" s="74"/>
      <c r="E278" s="74"/>
      <c r="F278" s="74"/>
      <c r="G278" s="74"/>
      <c r="H278" s="74"/>
      <c r="I278" s="74"/>
      <c r="J278" s="74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74"/>
      <c r="D279" s="74"/>
      <c r="E279" s="74"/>
      <c r="F279" s="74"/>
      <c r="G279" s="74"/>
      <c r="H279" s="74"/>
      <c r="I279" s="74"/>
      <c r="J279" s="74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74"/>
      <c r="D280" s="74"/>
      <c r="E280" s="74"/>
      <c r="F280" s="74"/>
      <c r="G280" s="74"/>
      <c r="H280" s="74"/>
      <c r="I280" s="74"/>
      <c r="J280" s="74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74"/>
      <c r="D281" s="74"/>
      <c r="E281" s="74"/>
      <c r="F281" s="74"/>
      <c r="G281" s="74"/>
      <c r="H281" s="74"/>
      <c r="I281" s="74"/>
      <c r="J281" s="74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74"/>
      <c r="D282" s="74"/>
      <c r="E282" s="74"/>
      <c r="F282" s="74"/>
      <c r="G282" s="74"/>
      <c r="H282" s="74"/>
      <c r="I282" s="74"/>
      <c r="J282" s="74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74"/>
      <c r="D283" s="74"/>
      <c r="E283" s="74"/>
      <c r="F283" s="74"/>
      <c r="G283" s="74"/>
      <c r="H283" s="74"/>
      <c r="I283" s="74"/>
      <c r="J283" s="74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74"/>
      <c r="D284" s="74"/>
      <c r="E284" s="74"/>
      <c r="F284" s="74"/>
      <c r="G284" s="74"/>
      <c r="H284" s="74"/>
      <c r="I284" s="74"/>
      <c r="J284" s="74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74"/>
      <c r="D285" s="74"/>
      <c r="E285" s="74"/>
      <c r="F285" s="74"/>
      <c r="G285" s="74"/>
      <c r="H285" s="74"/>
      <c r="I285" s="74"/>
      <c r="J285" s="74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74"/>
      <c r="D286" s="74"/>
      <c r="E286" s="74"/>
      <c r="F286" s="74"/>
      <c r="G286" s="74"/>
      <c r="H286" s="74"/>
      <c r="I286" s="74"/>
      <c r="J286" s="74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74"/>
      <c r="D287" s="74"/>
      <c r="E287" s="74"/>
      <c r="F287" s="74"/>
      <c r="G287" s="74"/>
      <c r="H287" s="74"/>
      <c r="I287" s="74"/>
      <c r="J287" s="74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74"/>
      <c r="D288" s="74"/>
      <c r="E288" s="74"/>
      <c r="F288" s="74"/>
      <c r="G288" s="74"/>
      <c r="H288" s="74"/>
      <c r="I288" s="74"/>
      <c r="J288" s="74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74"/>
      <c r="D289" s="74"/>
      <c r="E289" s="74"/>
      <c r="F289" s="74"/>
      <c r="G289" s="74"/>
      <c r="H289" s="74"/>
      <c r="I289" s="74"/>
      <c r="J289" s="74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74"/>
      <c r="D290" s="74"/>
      <c r="E290" s="74"/>
      <c r="F290" s="74"/>
      <c r="G290" s="74"/>
      <c r="H290" s="74"/>
      <c r="I290" s="74"/>
      <c r="J290" s="74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74"/>
      <c r="D291" s="74"/>
      <c r="E291" s="74"/>
      <c r="F291" s="74"/>
      <c r="G291" s="74"/>
      <c r="H291" s="74"/>
      <c r="I291" s="74"/>
      <c r="J291" s="74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74"/>
      <c r="D292" s="74"/>
      <c r="E292" s="74"/>
      <c r="F292" s="74"/>
      <c r="G292" s="74"/>
      <c r="H292" s="74"/>
      <c r="I292" s="74"/>
      <c r="J292" s="74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74"/>
      <c r="D293" s="74"/>
      <c r="E293" s="74"/>
      <c r="F293" s="74"/>
      <c r="G293" s="74"/>
      <c r="H293" s="74"/>
      <c r="I293" s="74"/>
      <c r="J293" s="74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74"/>
      <c r="D294" s="74"/>
      <c r="E294" s="74"/>
      <c r="F294" s="74"/>
      <c r="G294" s="74"/>
      <c r="H294" s="74"/>
      <c r="I294" s="74"/>
      <c r="J294" s="74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74"/>
      <c r="D295" s="74"/>
      <c r="E295" s="74"/>
      <c r="F295" s="74"/>
      <c r="G295" s="74"/>
      <c r="H295" s="74"/>
      <c r="I295" s="74"/>
      <c r="J295" s="74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74"/>
      <c r="D296" s="74"/>
      <c r="E296" s="74"/>
      <c r="F296" s="74"/>
      <c r="G296" s="74"/>
      <c r="H296" s="74"/>
      <c r="I296" s="74"/>
      <c r="J296" s="74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74"/>
      <c r="D297" s="74"/>
      <c r="E297" s="74"/>
      <c r="F297" s="74"/>
      <c r="G297" s="74"/>
      <c r="H297" s="74"/>
      <c r="I297" s="74"/>
      <c r="J297" s="74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74"/>
      <c r="D298" s="74"/>
      <c r="E298" s="74"/>
      <c r="F298" s="74"/>
      <c r="G298" s="74"/>
      <c r="H298" s="74"/>
      <c r="I298" s="74"/>
      <c r="J298" s="74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74"/>
      <c r="D299" s="74"/>
      <c r="E299" s="74"/>
      <c r="F299" s="74"/>
      <c r="G299" s="74"/>
      <c r="H299" s="74"/>
      <c r="I299" s="74"/>
      <c r="J299" s="74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74"/>
      <c r="D300" s="74"/>
      <c r="E300" s="74"/>
      <c r="F300" s="74"/>
      <c r="G300" s="74"/>
      <c r="H300" s="74"/>
      <c r="I300" s="74"/>
      <c r="J300" s="74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74"/>
      <c r="D301" s="74"/>
      <c r="E301" s="74"/>
      <c r="F301" s="74"/>
      <c r="G301" s="74"/>
      <c r="H301" s="74"/>
      <c r="I301" s="74"/>
      <c r="J301" s="74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74"/>
      <c r="D302" s="74"/>
      <c r="E302" s="74"/>
      <c r="F302" s="74"/>
      <c r="G302" s="74"/>
      <c r="H302" s="74"/>
      <c r="I302" s="74"/>
      <c r="J302" s="74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74"/>
      <c r="D303" s="74"/>
      <c r="E303" s="74"/>
      <c r="F303" s="74"/>
      <c r="G303" s="74"/>
      <c r="H303" s="74"/>
      <c r="I303" s="74"/>
      <c r="J303" s="74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74"/>
      <c r="D304" s="74"/>
      <c r="E304" s="74"/>
      <c r="F304" s="74"/>
      <c r="G304" s="74"/>
      <c r="H304" s="74"/>
      <c r="I304" s="74"/>
      <c r="J304" s="74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74"/>
      <c r="D305" s="74"/>
      <c r="E305" s="74"/>
      <c r="F305" s="74"/>
      <c r="G305" s="74"/>
      <c r="H305" s="74"/>
      <c r="I305" s="74"/>
      <c r="J305" s="74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74"/>
      <c r="D306" s="74"/>
      <c r="E306" s="74"/>
      <c r="F306" s="74"/>
      <c r="G306" s="74"/>
      <c r="H306" s="74"/>
      <c r="I306" s="74"/>
      <c r="J306" s="74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74"/>
      <c r="D307" s="74"/>
      <c r="E307" s="74"/>
      <c r="F307" s="74"/>
      <c r="G307" s="74"/>
      <c r="H307" s="74"/>
      <c r="I307" s="74"/>
      <c r="J307" s="74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74"/>
      <c r="D308" s="74"/>
      <c r="E308" s="74"/>
      <c r="F308" s="74"/>
      <c r="G308" s="74"/>
      <c r="H308" s="74"/>
      <c r="I308" s="74"/>
      <c r="J308" s="74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74"/>
      <c r="D309" s="74"/>
      <c r="E309" s="74"/>
      <c r="F309" s="74"/>
      <c r="G309" s="74"/>
      <c r="H309" s="74"/>
      <c r="I309" s="74"/>
      <c r="J309" s="74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74"/>
      <c r="D310" s="74"/>
      <c r="E310" s="74"/>
      <c r="F310" s="74"/>
      <c r="G310" s="74"/>
      <c r="H310" s="74"/>
      <c r="I310" s="74"/>
      <c r="J310" s="74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74"/>
      <c r="D311" s="74"/>
      <c r="E311" s="74"/>
      <c r="F311" s="74"/>
      <c r="G311" s="74"/>
      <c r="H311" s="74"/>
      <c r="I311" s="74"/>
      <c r="J311" s="74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74"/>
      <c r="D312" s="74"/>
      <c r="E312" s="74"/>
      <c r="F312" s="74"/>
      <c r="G312" s="74"/>
      <c r="H312" s="74"/>
      <c r="I312" s="74"/>
      <c r="J312" s="74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74"/>
      <c r="D313" s="74"/>
      <c r="E313" s="74"/>
      <c r="F313" s="74"/>
      <c r="G313" s="74"/>
      <c r="H313" s="74"/>
      <c r="I313" s="74"/>
      <c r="J313" s="74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2"/>
      <c r="L375" s="192"/>
      <c r="M375" s="75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2"/>
      <c r="L376" s="192"/>
      <c r="M376" s="75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2"/>
      <c r="L377" s="192"/>
      <c r="M377" s="75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2"/>
      <c r="L378" s="192"/>
      <c r="M378" s="75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2"/>
      <c r="L379" s="192"/>
      <c r="M379" s="75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2"/>
      <c r="L380" s="192"/>
      <c r="M380" s="75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2"/>
      <c r="L381" s="192"/>
      <c r="M381" s="75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2"/>
      <c r="L382" s="192"/>
      <c r="M382" s="75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2"/>
      <c r="L383" s="192"/>
      <c r="M383" s="75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2"/>
      <c r="L384" s="192"/>
      <c r="M384" s="75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2"/>
      <c r="L385" s="192"/>
      <c r="M385" s="75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2"/>
      <c r="L386" s="192"/>
      <c r="M386" s="75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2"/>
      <c r="L387" s="192"/>
      <c r="M387" s="75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2"/>
      <c r="L388" s="192"/>
      <c r="M388" s="75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2"/>
      <c r="L389" s="192"/>
      <c r="M389" s="75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2"/>
      <c r="L390" s="192"/>
      <c r="M390" s="75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2"/>
      <c r="L391" s="192"/>
      <c r="M391" s="75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2"/>
      <c r="L392" s="192"/>
      <c r="M392" s="75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2"/>
      <c r="L393" s="192"/>
      <c r="M393" s="75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2"/>
      <c r="L394" s="192"/>
      <c r="M394" s="75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2"/>
      <c r="L395" s="192"/>
      <c r="M395" s="75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2"/>
      <c r="L396" s="192"/>
      <c r="M396" s="75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2"/>
      <c r="L397" s="192"/>
      <c r="M397" s="75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2"/>
      <c r="L398" s="192"/>
      <c r="M398" s="75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2"/>
      <c r="L399" s="192"/>
      <c r="M399" s="75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2"/>
      <c r="L400" s="192"/>
      <c r="M400" s="75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2"/>
      <c r="L401" s="192"/>
      <c r="M401" s="75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2"/>
      <c r="L402" s="192"/>
      <c r="M402" s="75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2"/>
      <c r="L403" s="192"/>
      <c r="M403" s="75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2"/>
      <c r="L404" s="192"/>
      <c r="M404" s="75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2"/>
      <c r="L405" s="192"/>
      <c r="M405" s="75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2"/>
      <c r="L406" s="192"/>
      <c r="M406" s="75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2"/>
      <c r="L407" s="192"/>
      <c r="M407" s="75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2"/>
      <c r="L408" s="192"/>
      <c r="M408" s="75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2"/>
      <c r="L409" s="192"/>
      <c r="M409" s="75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2"/>
      <c r="L410" s="192"/>
      <c r="M410" s="75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2"/>
      <c r="L411" s="192"/>
      <c r="M411" s="75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2"/>
      <c r="L412" s="192"/>
      <c r="M412" s="75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2"/>
      <c r="L413" s="192"/>
      <c r="M413" s="75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2"/>
      <c r="L414" s="192"/>
      <c r="M414" s="75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2"/>
      <c r="L415" s="192"/>
      <c r="M415" s="75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2"/>
      <c r="L416" s="192"/>
      <c r="M416" s="75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2"/>
      <c r="L417" s="192"/>
      <c r="M417" s="75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2"/>
      <c r="L418" s="192"/>
      <c r="M418" s="75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2"/>
      <c r="L419" s="192"/>
      <c r="M419" s="75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2"/>
      <c r="L420" s="192"/>
      <c r="M420" s="75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2"/>
      <c r="L421" s="192"/>
      <c r="M421" s="75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2"/>
      <c r="L422" s="192"/>
      <c r="M422" s="75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2"/>
      <c r="L423" s="192"/>
      <c r="M423" s="75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2"/>
      <c r="L424" s="192"/>
      <c r="M424" s="75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2"/>
      <c r="L425" s="192"/>
      <c r="M425" s="75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2"/>
      <c r="L426" s="192"/>
      <c r="M426" s="75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92"/>
      <c r="L427" s="192"/>
      <c r="M427" s="75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92"/>
      <c r="L428" s="192"/>
      <c r="M428" s="75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92"/>
      <c r="L429" s="192"/>
      <c r="M429" s="75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92"/>
      <c r="L430" s="192"/>
      <c r="M430" s="75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92"/>
      <c r="L431" s="192"/>
      <c r="M431" s="75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92"/>
      <c r="L432" s="192"/>
      <c r="M432" s="75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92"/>
      <c r="L433" s="192"/>
      <c r="M433" s="75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92"/>
      <c r="L434" s="192"/>
      <c r="M434" s="75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92"/>
      <c r="L435" s="192"/>
      <c r="M435" s="75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92"/>
      <c r="L436" s="192"/>
      <c r="M436" s="75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92"/>
      <c r="L437" s="192"/>
      <c r="M437" s="75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92"/>
      <c r="L438" s="192"/>
      <c r="M438" s="75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92"/>
      <c r="L439" s="192"/>
      <c r="M439" s="75"/>
      <c r="N439" s="2"/>
      <c r="O439" s="2"/>
      <c r="P439" s="2"/>
      <c r="Q439" s="2"/>
      <c r="R439" s="2"/>
    </row>
  </sheetData>
  <phoneticPr fontId="0" type="noConversion"/>
  <printOptions horizontalCentered="1"/>
  <pageMargins left="0.45" right="0.25" top="0.31944444444444398" bottom="0.2" header="0.5" footer="0.5"/>
  <pageSetup scale="66" orientation="landscape" r:id="rId1"/>
  <headerFooter alignWithMargins="0"/>
  <rowBreaks count="3" manualBreakCount="3">
    <brk id="55" max="12" man="1"/>
    <brk id="103" max="12" man="1"/>
    <brk id="15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1"/>
  <sheetViews>
    <sheetView showOutlineSymbols="0" topLeftCell="A97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16.21875" style="80" customWidth="1"/>
    <col min="5" max="5" width="13.6640625" style="80" customWidth="1"/>
    <col min="6" max="6" width="14.33203125" style="80" customWidth="1"/>
    <col min="7" max="7" width="21.44140625" style="80" customWidth="1"/>
    <col min="8" max="8" width="17.88671875" style="80" customWidth="1"/>
    <col min="9" max="9" width="15.4414062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9.44140625" style="80" customWidth="1"/>
    <col min="15" max="15" width="13.8867187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23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78" t="s">
        <v>71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24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25</v>
      </c>
      <c r="P6" s="83"/>
    </row>
    <row r="7" spans="1:16" ht="15.75" x14ac:dyDescent="0.25">
      <c r="A7" s="105" t="s">
        <v>26</v>
      </c>
      <c r="B7" s="84" t="s">
        <v>13</v>
      </c>
      <c r="C7" s="84" t="s">
        <v>15</v>
      </c>
      <c r="D7" s="84" t="s">
        <v>56</v>
      </c>
      <c r="E7" s="275" t="s">
        <v>62</v>
      </c>
      <c r="F7" s="84" t="s">
        <v>16</v>
      </c>
      <c r="G7" s="84" t="s">
        <v>61</v>
      </c>
      <c r="H7" s="84" t="s">
        <v>17</v>
      </c>
      <c r="I7" s="84" t="s">
        <v>55</v>
      </c>
      <c r="J7" s="84" t="s">
        <v>27</v>
      </c>
      <c r="K7" s="84" t="s">
        <v>57</v>
      </c>
      <c r="L7" s="84" t="s">
        <v>53</v>
      </c>
      <c r="M7" s="84" t="s">
        <v>19</v>
      </c>
      <c r="N7" s="84" t="s">
        <v>54</v>
      </c>
      <c r="O7" s="84" t="s">
        <v>28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DATE(2019,7,1)</f>
        <v>43647</v>
      </c>
      <c r="B10" s="89">
        <f>'MONTHLY STATS'!$C$9*2</f>
        <v>547638</v>
      </c>
      <c r="C10" s="89">
        <f>'MONTHLY STATS'!$C$21*2</f>
        <v>257754</v>
      </c>
      <c r="D10" s="89">
        <f>'MONTHLY STATS'!$C$33*2</f>
        <v>133644</v>
      </c>
      <c r="E10" s="89">
        <f>'MONTHLY STATS'!$C$45*2</f>
        <v>876434</v>
      </c>
      <c r="F10" s="89">
        <f>'MONTHLY STATS'!$C$57*2</f>
        <v>577518</v>
      </c>
      <c r="G10" s="89">
        <f>'MONTHLY STATS'!$C$69*2</f>
        <v>221856</v>
      </c>
      <c r="H10" s="89">
        <f>'MONTHLY STATS'!$C$81*2</f>
        <v>302822</v>
      </c>
      <c r="I10" s="89">
        <f>'MONTHLY STATS'!$C$93*2</f>
        <v>647442</v>
      </c>
      <c r="J10" s="89">
        <f>'MONTHLY STATS'!$C$105*2</f>
        <v>733218</v>
      </c>
      <c r="K10" s="89">
        <f>'MONTHLY STATS'!$C$117*2</f>
        <v>840884</v>
      </c>
      <c r="L10" s="89">
        <f>'MONTHLY STATS'!$C$129*2</f>
        <v>122654</v>
      </c>
      <c r="M10" s="89">
        <f>'MONTHLY STATS'!$C$141*2</f>
        <v>894948</v>
      </c>
      <c r="N10" s="89">
        <f>'MONTHLY STATS'!$C$153*2</f>
        <v>154862</v>
      </c>
      <c r="O10" s="90">
        <f t="shared" ref="O10:O15" si="0">SUM(B10:N10)</f>
        <v>6311674</v>
      </c>
      <c r="P10" s="83"/>
    </row>
    <row r="11" spans="1:16" ht="15.75" x14ac:dyDescent="0.25">
      <c r="A11" s="88">
        <f>DATE(2019,8,1)</f>
        <v>43678</v>
      </c>
      <c r="B11" s="89">
        <f>'MONTHLY STATS'!$C$10*2</f>
        <v>553760</v>
      </c>
      <c r="C11" s="89">
        <f>'MONTHLY STATS'!$C$22*2</f>
        <v>260266</v>
      </c>
      <c r="D11" s="89">
        <f>'MONTHLY STATS'!$C$34*2</f>
        <v>138050</v>
      </c>
      <c r="E11" s="89">
        <f>'MONTHLY STATS'!$C$46*2</f>
        <v>874058</v>
      </c>
      <c r="F11" s="89">
        <f>'MONTHLY STATS'!$C$58*2</f>
        <v>585914</v>
      </c>
      <c r="G11" s="89">
        <f>'MONTHLY STATS'!$C$70*2</f>
        <v>228616</v>
      </c>
      <c r="H11" s="89">
        <f>'MONTHLY STATS'!$C$82*2</f>
        <v>306888</v>
      </c>
      <c r="I11" s="89">
        <f>'MONTHLY STATS'!$C$94*2</f>
        <v>649404</v>
      </c>
      <c r="J11" s="89">
        <f>'MONTHLY STATS'!$C$106*2</f>
        <v>769748</v>
      </c>
      <c r="K11" s="89">
        <f>'MONTHLY STATS'!$C$118*2</f>
        <v>880314</v>
      </c>
      <c r="L11" s="89">
        <f>'MONTHLY STATS'!$C$130*2</f>
        <v>125774</v>
      </c>
      <c r="M11" s="89">
        <f>'MONTHLY STATS'!$C$142*2</f>
        <v>926790</v>
      </c>
      <c r="N11" s="89">
        <f>'MONTHLY STATS'!$C$154*2</f>
        <v>166064</v>
      </c>
      <c r="O11" s="90">
        <f t="shared" si="0"/>
        <v>6465646</v>
      </c>
      <c r="P11" s="83"/>
    </row>
    <row r="12" spans="1:16" ht="15.75" x14ac:dyDescent="0.25">
      <c r="A12" s="88">
        <f>DATE(2019,9,1)</f>
        <v>43709</v>
      </c>
      <c r="B12" s="89">
        <f>'MONTHLY STATS'!$C$11*2</f>
        <v>508056</v>
      </c>
      <c r="C12" s="89">
        <f>'MONTHLY STATS'!$C$23*2</f>
        <v>236502</v>
      </c>
      <c r="D12" s="89">
        <f>'MONTHLY STATS'!$C$35*2</f>
        <v>131146</v>
      </c>
      <c r="E12" s="89">
        <f>'MONTHLY STATS'!$C$47*2</f>
        <v>807698</v>
      </c>
      <c r="F12" s="89">
        <f>'MONTHLY STATS'!$C$59*2</f>
        <v>553426</v>
      </c>
      <c r="G12" s="89">
        <f>'MONTHLY STATS'!$C$71*2</f>
        <v>217338</v>
      </c>
      <c r="H12" s="89">
        <f>'MONTHLY STATS'!$C$83*2</f>
        <v>286098</v>
      </c>
      <c r="I12" s="89">
        <f>'MONTHLY STATS'!$C$95*2</f>
        <v>601562</v>
      </c>
      <c r="J12" s="89">
        <f>'MONTHLY STATS'!$C$107*2</f>
        <v>696336</v>
      </c>
      <c r="K12" s="89">
        <f>'MONTHLY STATS'!$C$119*2</f>
        <v>847168</v>
      </c>
      <c r="L12" s="89">
        <f>'MONTHLY STATS'!$C$131*2</f>
        <v>118216</v>
      </c>
      <c r="M12" s="89">
        <f>'MONTHLY STATS'!$C$143*2</f>
        <v>851784</v>
      </c>
      <c r="N12" s="89">
        <f>'MONTHLY STATS'!$C$155*2</f>
        <v>141848</v>
      </c>
      <c r="O12" s="90">
        <f t="shared" si="0"/>
        <v>5997178</v>
      </c>
      <c r="P12" s="83"/>
    </row>
    <row r="13" spans="1:16" ht="15.75" x14ac:dyDescent="0.25">
      <c r="A13" s="88">
        <f>DATE(2019,10,1)</f>
        <v>43739</v>
      </c>
      <c r="B13" s="89">
        <f>'MONTHLY STATS'!$C$12*2</f>
        <v>501904</v>
      </c>
      <c r="C13" s="89">
        <f>'MONTHLY STATS'!$C$24*2</f>
        <v>226104</v>
      </c>
      <c r="D13" s="89">
        <f>'MONTHLY STATS'!$C$36*2</f>
        <v>126078</v>
      </c>
      <c r="E13" s="89">
        <f>'MONTHLY STATS'!$C$48*2</f>
        <v>793172</v>
      </c>
      <c r="F13" s="89">
        <f>'MONTHLY STATS'!$C$60*2</f>
        <v>530564</v>
      </c>
      <c r="G13" s="89">
        <f>'MONTHLY STATS'!$C$72*2</f>
        <v>217270</v>
      </c>
      <c r="H13" s="89">
        <f>'MONTHLY STATS'!$C$84*2</f>
        <v>294266</v>
      </c>
      <c r="I13" s="89">
        <f>'MONTHLY STATS'!$C$96*2</f>
        <v>567078</v>
      </c>
      <c r="J13" s="89">
        <f>'MONTHLY STATS'!$C$108*2</f>
        <v>694800</v>
      </c>
      <c r="K13" s="89">
        <f>'MONTHLY STATS'!$C$120*2</f>
        <v>844618</v>
      </c>
      <c r="L13" s="89">
        <f>'MONTHLY STATS'!$C$132*2</f>
        <v>112394</v>
      </c>
      <c r="M13" s="89">
        <f>'MONTHLY STATS'!$C$144*2</f>
        <v>811392</v>
      </c>
      <c r="N13" s="89">
        <f>'MONTHLY STATS'!$C$156*2</f>
        <v>140964</v>
      </c>
      <c r="O13" s="90">
        <f t="shared" si="0"/>
        <v>5860604</v>
      </c>
      <c r="P13" s="83"/>
    </row>
    <row r="14" spans="1:16" ht="15.75" x14ac:dyDescent="0.25">
      <c r="A14" s="88">
        <f>DATE(2019,11,1)</f>
        <v>43770</v>
      </c>
      <c r="B14" s="89">
        <f>'MONTHLY STATS'!$C$13*2</f>
        <v>544836</v>
      </c>
      <c r="C14" s="89">
        <f>'MONTHLY STATS'!$C$25*2</f>
        <v>233310</v>
      </c>
      <c r="D14" s="89">
        <f>'MONTHLY STATS'!$C$37*2</f>
        <v>128720</v>
      </c>
      <c r="E14" s="89">
        <f>'MONTHLY STATS'!$C$49*2</f>
        <v>839574</v>
      </c>
      <c r="F14" s="89">
        <f>'MONTHLY STATS'!$C$61*2</f>
        <v>577528</v>
      </c>
      <c r="G14" s="89">
        <f>'MONTHLY STATS'!$C$73*2</f>
        <v>217956</v>
      </c>
      <c r="H14" s="89">
        <f>'MONTHLY STATS'!$C$85*2</f>
        <v>295218</v>
      </c>
      <c r="I14" s="89">
        <f>'MONTHLY STATS'!$C$97*2</f>
        <v>582042</v>
      </c>
      <c r="J14" s="89">
        <f>'MONTHLY STATS'!$C$109*2</f>
        <v>735812</v>
      </c>
      <c r="K14" s="89">
        <f>'MONTHLY STATS'!$C$121*2</f>
        <v>869686</v>
      </c>
      <c r="L14" s="89">
        <f>'MONTHLY STATS'!$C$133*2</f>
        <v>112080</v>
      </c>
      <c r="M14" s="89">
        <f>'MONTHLY STATS'!$C$145*2</f>
        <v>820948</v>
      </c>
      <c r="N14" s="89">
        <f>'MONTHLY STATS'!$C$157*2</f>
        <v>146112</v>
      </c>
      <c r="O14" s="90">
        <f t="shared" si="0"/>
        <v>6103822</v>
      </c>
      <c r="P14" s="83"/>
    </row>
    <row r="15" spans="1:16" ht="15.75" x14ac:dyDescent="0.25">
      <c r="A15" s="88">
        <f>DATE(2019,12,1)</f>
        <v>43800</v>
      </c>
      <c r="B15" s="89">
        <f>'MONTHLY STATS'!$C$14*2</f>
        <v>564690</v>
      </c>
      <c r="C15" s="89">
        <f>'MONTHLY STATS'!$C$26*2</f>
        <v>230978</v>
      </c>
      <c r="D15" s="89">
        <f>'MONTHLY STATS'!$C$38*2</f>
        <v>136940</v>
      </c>
      <c r="E15" s="89">
        <f>'MONTHLY STATS'!$C$50*2</f>
        <v>796040</v>
      </c>
      <c r="F15" s="89">
        <f>'MONTHLY STATS'!$C$62*2</f>
        <v>604618</v>
      </c>
      <c r="G15" s="89">
        <f>'MONTHLY STATS'!$C$74*2</f>
        <v>231648</v>
      </c>
      <c r="H15" s="89">
        <f>'MONTHLY STATS'!$C$86*2</f>
        <v>293630</v>
      </c>
      <c r="I15" s="89">
        <f>'MONTHLY STATS'!$C$98*2</f>
        <v>629628</v>
      </c>
      <c r="J15" s="89">
        <f>'MONTHLY STATS'!$C$110*2</f>
        <v>751558</v>
      </c>
      <c r="K15" s="89">
        <f>'MONTHLY STATS'!$C$122*2</f>
        <v>849840</v>
      </c>
      <c r="L15" s="89">
        <f>'MONTHLY STATS'!$C$134*2</f>
        <v>115594</v>
      </c>
      <c r="M15" s="89">
        <f>'MONTHLY STATS'!$C$146*2</f>
        <v>873976</v>
      </c>
      <c r="N15" s="89">
        <f>'MONTHLY STATS'!$C$158*2</f>
        <v>149990</v>
      </c>
      <c r="O15" s="90">
        <f t="shared" si="0"/>
        <v>6229130</v>
      </c>
      <c r="P15" s="83"/>
    </row>
    <row r="16" spans="1:16" ht="15.75" x14ac:dyDescent="0.25">
      <c r="A16" s="88">
        <f>DATE(2020,1,1)</f>
        <v>43831</v>
      </c>
      <c r="B16" s="89">
        <f>'MONTHLY STATS'!$C$15*2</f>
        <v>489882</v>
      </c>
      <c r="C16" s="89">
        <f>'MONTHLY STATS'!$C$27*2</f>
        <v>208334</v>
      </c>
      <c r="D16" s="89">
        <f>'MONTHLY STATS'!$C$39*2</f>
        <v>128374</v>
      </c>
      <c r="E16" s="89">
        <f>'MONTHLY STATS'!$C$51*2</f>
        <v>785614</v>
      </c>
      <c r="F16" s="89">
        <f>'MONTHLY STATS'!$C$63*2</f>
        <v>536596</v>
      </c>
      <c r="G16" s="89">
        <f>'MONTHLY STATS'!$C$75*2</f>
        <v>216130</v>
      </c>
      <c r="H16" s="89">
        <f>'MONTHLY STATS'!$C$87*2</f>
        <v>276072</v>
      </c>
      <c r="I16" s="89">
        <f>'MONTHLY STATS'!$C$99*2</f>
        <v>570534</v>
      </c>
      <c r="J16" s="89">
        <f>'MONTHLY STATS'!$C$111*2</f>
        <v>661226</v>
      </c>
      <c r="K16" s="89">
        <f>'MONTHLY STATS'!$C$123*2</f>
        <v>825448</v>
      </c>
      <c r="L16" s="89">
        <f>'MONTHLY STATS'!$C$135*2</f>
        <v>97868</v>
      </c>
      <c r="M16" s="89">
        <f>'MONTHLY STATS'!$C$147*2</f>
        <v>827410</v>
      </c>
      <c r="N16" s="89">
        <f>'MONTHLY STATS'!$C$159*2</f>
        <v>146556</v>
      </c>
      <c r="O16" s="90">
        <f>SUM(B16:N16)</f>
        <v>5770044</v>
      </c>
      <c r="P16" s="83"/>
    </row>
    <row r="17" spans="1:16" ht="15.75" x14ac:dyDescent="0.25">
      <c r="A17" s="88">
        <f>DATE(2020,2,1)</f>
        <v>43862</v>
      </c>
      <c r="B17" s="89">
        <f>'MONTHLY STATS'!$C$16*2</f>
        <v>521882</v>
      </c>
      <c r="C17" s="89">
        <f>'MONTHLY STATS'!$C$28*2</f>
        <v>246994</v>
      </c>
      <c r="D17" s="89">
        <f>'MONTHLY STATS'!$C$40*2</f>
        <v>138854</v>
      </c>
      <c r="E17" s="89">
        <f>'MONTHLY STATS'!$C$52*2</f>
        <v>867312</v>
      </c>
      <c r="F17" s="89">
        <f>'MONTHLY STATS'!$C$64*2</f>
        <v>581048</v>
      </c>
      <c r="G17" s="89">
        <f>'MONTHLY STATS'!$C$76*2</f>
        <v>245026</v>
      </c>
      <c r="H17" s="89">
        <f>'MONTHLY STATS'!$C$88*2</f>
        <v>304264</v>
      </c>
      <c r="I17" s="89">
        <f>'MONTHLY STATS'!$C$100*2</f>
        <v>605218</v>
      </c>
      <c r="J17" s="89">
        <f>'MONTHLY STATS'!$C$112*2</f>
        <v>749418</v>
      </c>
      <c r="K17" s="89">
        <f>'MONTHLY STATS'!$C$124*2</f>
        <v>871380</v>
      </c>
      <c r="L17" s="89">
        <f>'MONTHLY STATS'!$C$136*2</f>
        <v>115286</v>
      </c>
      <c r="M17" s="89">
        <f>'MONTHLY STATS'!$C$148*2</f>
        <v>861158</v>
      </c>
      <c r="N17" s="89">
        <f>'MONTHLY STATS'!$C$160*2</f>
        <v>158994</v>
      </c>
      <c r="O17" s="90">
        <f>SUM(B17:N17)</f>
        <v>6266834</v>
      </c>
      <c r="P17" s="83"/>
    </row>
    <row r="18" spans="1:16" ht="15.75" x14ac:dyDescent="0.25">
      <c r="A18" s="88">
        <f>DATE(2020,3,1)</f>
        <v>43891</v>
      </c>
      <c r="B18" s="89">
        <f>'MONTHLY STATS'!$C$17*2</f>
        <v>267576</v>
      </c>
      <c r="C18" s="89">
        <f>'MONTHLY STATS'!$C$29*2</f>
        <v>121232</v>
      </c>
      <c r="D18" s="89">
        <f>'MONTHLY STATS'!$C$41*2</f>
        <v>73034</v>
      </c>
      <c r="E18" s="89">
        <f>'MONTHLY STATS'!$C$53*2</f>
        <v>376826</v>
      </c>
      <c r="F18" s="89">
        <f>'MONTHLY STATS'!$C$65*2</f>
        <v>288354</v>
      </c>
      <c r="G18" s="89">
        <f>'MONTHLY STATS'!$C$77*2</f>
        <v>126510</v>
      </c>
      <c r="H18" s="89">
        <f>'MONTHLY STATS'!$C$89*2</f>
        <v>167646</v>
      </c>
      <c r="I18" s="89">
        <f>'MONTHLY STATS'!$C$101*2</f>
        <v>318946</v>
      </c>
      <c r="J18" s="89">
        <f>'MONTHLY STATS'!$C$113*2</f>
        <v>362394</v>
      </c>
      <c r="K18" s="89">
        <f>'MONTHLY STATS'!$C$125*2</f>
        <v>395680</v>
      </c>
      <c r="L18" s="89">
        <f>'MONTHLY STATS'!$C$137*2</f>
        <v>63840</v>
      </c>
      <c r="M18" s="89">
        <f>'MONTHLY STATS'!$C$149*2</f>
        <v>427862</v>
      </c>
      <c r="N18" s="89">
        <f>'MONTHLY STATS'!$C$161*2</f>
        <v>86874</v>
      </c>
      <c r="O18" s="90">
        <f>SUM(B18:N18)</f>
        <v>3076774</v>
      </c>
      <c r="P18" s="83"/>
    </row>
    <row r="19" spans="1:16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29</v>
      </c>
      <c r="B23" s="90">
        <f t="shared" ref="B23:O23" si="1">SUM(B10:B21)</f>
        <v>4500224</v>
      </c>
      <c r="C23" s="90">
        <f t="shared" si="1"/>
        <v>2021474</v>
      </c>
      <c r="D23" s="90">
        <f t="shared" si="1"/>
        <v>1134840</v>
      </c>
      <c r="E23" s="90">
        <f t="shared" si="1"/>
        <v>7016728</v>
      </c>
      <c r="F23" s="90">
        <f t="shared" si="1"/>
        <v>4835566</v>
      </c>
      <c r="G23" s="90">
        <f>SUM(G10:G21)</f>
        <v>1922350</v>
      </c>
      <c r="H23" s="90">
        <f t="shared" si="1"/>
        <v>2526904</v>
      </c>
      <c r="I23" s="90">
        <f>SUM(I10:I21)</f>
        <v>5171854</v>
      </c>
      <c r="J23" s="90">
        <f t="shared" si="1"/>
        <v>6154510</v>
      </c>
      <c r="K23" s="90">
        <f>SUM(K10:K21)</f>
        <v>7225018</v>
      </c>
      <c r="L23" s="90">
        <f t="shared" si="1"/>
        <v>983706</v>
      </c>
      <c r="M23" s="90">
        <f t="shared" si="1"/>
        <v>7296268</v>
      </c>
      <c r="N23" s="90">
        <f t="shared" si="1"/>
        <v>1292264</v>
      </c>
      <c r="O23" s="90">
        <f t="shared" si="1"/>
        <v>52081706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30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25</v>
      </c>
      <c r="P27" s="83"/>
    </row>
    <row r="28" spans="1:16" ht="15.75" x14ac:dyDescent="0.25">
      <c r="A28" s="105" t="s">
        <v>26</v>
      </c>
      <c r="B28" s="84" t="s">
        <v>13</v>
      </c>
      <c r="C28" s="84" t="s">
        <v>15</v>
      </c>
      <c r="D28" s="84" t="s">
        <v>56</v>
      </c>
      <c r="E28" s="275" t="s">
        <v>62</v>
      </c>
      <c r="F28" s="84" t="s">
        <v>16</v>
      </c>
      <c r="G28" s="84" t="s">
        <v>61</v>
      </c>
      <c r="H28" s="84" t="s">
        <v>17</v>
      </c>
      <c r="I28" s="84" t="s">
        <v>55</v>
      </c>
      <c r="J28" s="84" t="s">
        <v>27</v>
      </c>
      <c r="K28" s="106" t="s">
        <v>57</v>
      </c>
      <c r="L28" s="106" t="s">
        <v>53</v>
      </c>
      <c r="M28" s="106" t="s">
        <v>19</v>
      </c>
      <c r="N28" s="106" t="s">
        <v>54</v>
      </c>
      <c r="O28" s="106" t="s">
        <v>28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DATE(2019,7,1)</f>
        <v>43647</v>
      </c>
      <c r="B31" s="89">
        <f>'MONTHLY STATS'!$K$9*0.21</f>
        <v>3064505.5707</v>
      </c>
      <c r="C31" s="89">
        <f>'MONTHLY STATS'!$K$21*0.21</f>
        <v>1462853.8743</v>
      </c>
      <c r="D31" s="89">
        <f>'MONTHLY STATS'!$K$33*0.21</f>
        <v>684695.08169999998</v>
      </c>
      <c r="E31" s="89">
        <f>'MONTHLY STATS'!$K$45*0.21</f>
        <v>4293878.6624999996</v>
      </c>
      <c r="F31" s="89">
        <f>'MONTHLY STATS'!$K$57*0.21</f>
        <v>2956269.6954000001</v>
      </c>
      <c r="G31" s="89">
        <f>'MONTHLY STATS'!$K$69*0.21</f>
        <v>935961.4299000001</v>
      </c>
      <c r="H31" s="89">
        <f>'MONTHLY STATS'!$K$81*0.21</f>
        <v>1101109.2120000001</v>
      </c>
      <c r="I31" s="89">
        <f>'MONTHLY STATS'!$K$93*0.21</f>
        <v>2638122.8495999998</v>
      </c>
      <c r="J31" s="89">
        <f>'MONTHLY STATS'!$K$105*0.21</f>
        <v>3294768.9683999997</v>
      </c>
      <c r="K31" s="89">
        <f>'MONTHLY STATS'!$K$117*0.21</f>
        <v>3827720.7779999999</v>
      </c>
      <c r="L31" s="89">
        <f>'MONTHLY STATS'!$K$129*0.21</f>
        <v>577273.81739999994</v>
      </c>
      <c r="M31" s="89">
        <f>'MONTHLY STATS'!$K$141*0.21</f>
        <v>4787594.2569000004</v>
      </c>
      <c r="N31" s="89">
        <f>'MONTHLY STATS'!$K$153*0.21</f>
        <v>713298.1547999999</v>
      </c>
      <c r="O31" s="90">
        <f t="shared" ref="O31:O36" si="2">SUM(B31:N31)</f>
        <v>30338052.351600002</v>
      </c>
      <c r="P31" s="83"/>
    </row>
    <row r="32" spans="1:16" ht="15.75" x14ac:dyDescent="0.25">
      <c r="A32" s="88">
        <f>DATE(2019,8,1)</f>
        <v>43678</v>
      </c>
      <c r="B32" s="89">
        <f>'MONTHLY STATS'!$K$10*0.21</f>
        <v>3045430.4958000001</v>
      </c>
      <c r="C32" s="89">
        <f>'MONTHLY STATS'!$K$22*0.21</f>
        <v>1462946.0684999998</v>
      </c>
      <c r="D32" s="89">
        <f>'MONTHLY STATS'!$K$34*0.21</f>
        <v>676743.23639999994</v>
      </c>
      <c r="E32" s="89">
        <f>'MONTHLY STATS'!$K$46*0.21</f>
        <v>4480740.0917999996</v>
      </c>
      <c r="F32" s="89">
        <f>'MONTHLY STATS'!$K$58*0.21</f>
        <v>3271877.1245999997</v>
      </c>
      <c r="G32" s="89">
        <f>'MONTHLY STATS'!$K$70*0.21</f>
        <v>1095307.4894999999</v>
      </c>
      <c r="H32" s="89">
        <f>'MONTHLY STATS'!$K$82*0.21</f>
        <v>1189395.375</v>
      </c>
      <c r="I32" s="89">
        <f>'MONTHLY STATS'!$K$94*0.21</f>
        <v>2712053.7380999997</v>
      </c>
      <c r="J32" s="89">
        <f>'MONTHLY STATS'!$K$106*0.21</f>
        <v>3485481.7787999995</v>
      </c>
      <c r="K32" s="89">
        <f>'MONTHLY STATS'!$K$118*0.21</f>
        <v>4099393.2629999998</v>
      </c>
      <c r="L32" s="89">
        <f>'MONTHLY STATS'!$K$130*0.21</f>
        <v>621704.08019999997</v>
      </c>
      <c r="M32" s="89">
        <f>'MONTHLY STATS'!$K$142*0.21</f>
        <v>4872173.9534999998</v>
      </c>
      <c r="N32" s="89">
        <f>'MONTHLY STATS'!$K$154*0.21</f>
        <v>733278.10290000006</v>
      </c>
      <c r="O32" s="90">
        <f t="shared" si="2"/>
        <v>31746524.798099998</v>
      </c>
      <c r="P32" s="83"/>
    </row>
    <row r="33" spans="1:16" ht="15.75" x14ac:dyDescent="0.25">
      <c r="A33" s="88">
        <f>DATE(2019,9,1)</f>
        <v>43709</v>
      </c>
      <c r="B33" s="89">
        <f>'MONTHLY STATS'!$K$11*0.21</f>
        <v>2682516.9797999999</v>
      </c>
      <c r="C33" s="89">
        <f>'MONTHLY STATS'!$K$23*0.21</f>
        <v>1347099.7259999998</v>
      </c>
      <c r="D33" s="89">
        <f>'MONTHLY STATS'!$K$35*0.21</f>
        <v>653521.67790000001</v>
      </c>
      <c r="E33" s="89">
        <f>'MONTHLY STATS'!$K$47*0.21</f>
        <v>3975747.0710999998</v>
      </c>
      <c r="F33" s="89">
        <f>'MONTHLY STATS'!$K$59*0.21</f>
        <v>3075068.3207999999</v>
      </c>
      <c r="G33" s="89">
        <f>'MONTHLY STATS'!$K$71*0.21</f>
        <v>1064622.0311999999</v>
      </c>
      <c r="H33" s="89">
        <f>'MONTHLY STATS'!$K$83*0.21</f>
        <v>1067073.9975000001</v>
      </c>
      <c r="I33" s="89">
        <f>'MONTHLY STATS'!$K$95*0.21</f>
        <v>2580957.3509999998</v>
      </c>
      <c r="J33" s="89">
        <f>'MONTHLY STATS'!$K$107*0.21</f>
        <v>3247922.0403</v>
      </c>
      <c r="K33" s="89">
        <f>'MONTHLY STATS'!$K$119*0.21</f>
        <v>3876567.9813000001</v>
      </c>
      <c r="L33" s="89">
        <f>'MONTHLY STATS'!$K$131*0.21</f>
        <v>566536.21919999993</v>
      </c>
      <c r="M33" s="89">
        <f>'MONTHLY STATS'!$K$143*0.21</f>
        <v>4521489.4556999998</v>
      </c>
      <c r="N33" s="89">
        <f>'MONTHLY STATS'!$K$155*0.21</f>
        <v>708002.13749999995</v>
      </c>
      <c r="O33" s="90">
        <f t="shared" si="2"/>
        <v>29367124.989299998</v>
      </c>
      <c r="P33" s="83"/>
    </row>
    <row r="34" spans="1:16" ht="15.75" x14ac:dyDescent="0.25">
      <c r="A34" s="88">
        <f>DATE(2019,10,1)</f>
        <v>43739</v>
      </c>
      <c r="B34" s="89">
        <f>'MONTHLY STATS'!$K$12*0.21</f>
        <v>2808656.8460999997</v>
      </c>
      <c r="C34" s="89">
        <f>'MONTHLY STATS'!$K$24*0.21</f>
        <v>1270314.0954</v>
      </c>
      <c r="D34" s="89">
        <f>'MONTHLY STATS'!$K$36*0.21</f>
        <v>656377.92780000006</v>
      </c>
      <c r="E34" s="89">
        <f>'MONTHLY STATS'!$K$48*0.21</f>
        <v>3996958.6754999999</v>
      </c>
      <c r="F34" s="89">
        <f>'MONTHLY STATS'!$K$60*0.21</f>
        <v>3081834.2771999999</v>
      </c>
      <c r="G34" s="89">
        <f>'MONTHLY STATS'!$K$72*0.21</f>
        <v>1071722.4966</v>
      </c>
      <c r="H34" s="89">
        <f>'MONTHLY STATS'!$K$84*0.21</f>
        <v>1134567.2541</v>
      </c>
      <c r="I34" s="89">
        <f>'MONTHLY STATS'!$K$96*0.21</f>
        <v>2500454.2626</v>
      </c>
      <c r="J34" s="89">
        <f>'MONTHLY STATS'!$K$108*0.21</f>
        <v>3431365.9085999997</v>
      </c>
      <c r="K34" s="89">
        <f>'MONTHLY STATS'!$K$120*0.21</f>
        <v>3910565.9228999997</v>
      </c>
      <c r="L34" s="89">
        <f>'MONTHLY STATS'!$K$132*0.21</f>
        <v>591159.4878</v>
      </c>
      <c r="M34" s="89">
        <f>'MONTHLY STATS'!$K$144*0.21</f>
        <v>4577616.1599000003</v>
      </c>
      <c r="N34" s="89">
        <f>'MONTHLY STATS'!$K$156*0.21</f>
        <v>687542.05590000004</v>
      </c>
      <c r="O34" s="90">
        <f t="shared" si="2"/>
        <v>29719135.370399997</v>
      </c>
      <c r="P34" s="83"/>
    </row>
    <row r="35" spans="1:16" ht="15.75" x14ac:dyDescent="0.25">
      <c r="A35" s="88">
        <f>DATE(2019,11,1)</f>
        <v>43770</v>
      </c>
      <c r="B35" s="89">
        <f>'MONTHLY STATS'!$K$13*0.21</f>
        <v>2933291.6571</v>
      </c>
      <c r="C35" s="89">
        <f>'MONTHLY STATS'!$K$25*0.21</f>
        <v>1336391.2106999999</v>
      </c>
      <c r="D35" s="89">
        <f>'MONTHLY STATS'!$K$37*0.21</f>
        <v>673998.13950000005</v>
      </c>
      <c r="E35" s="89">
        <f>'MONTHLY STATS'!$K$49*0.21</f>
        <v>4250414.3072999995</v>
      </c>
      <c r="F35" s="89">
        <f>'MONTHLY STATS'!$K$61*0.21</f>
        <v>3054671.8629000001</v>
      </c>
      <c r="G35" s="89">
        <f>'MONTHLY STATS'!$K$73*0.21</f>
        <v>1072822.3443</v>
      </c>
      <c r="H35" s="89">
        <f>'MONTHLY STATS'!$K$85*0.21</f>
        <v>1139863.5906</v>
      </c>
      <c r="I35" s="89">
        <f>'MONTHLY STATS'!$K$97*0.21</f>
        <v>2542840.0094999997</v>
      </c>
      <c r="J35" s="89">
        <f>'MONTHLY STATS'!$K$109*0.21</f>
        <v>3481744.8330000001</v>
      </c>
      <c r="K35" s="89">
        <f>'MONTHLY STATS'!$K$121*0.21</f>
        <v>4147627.5014999993</v>
      </c>
      <c r="L35" s="89">
        <f>'MONTHLY STATS'!$K$133*0.21</f>
        <v>613487.69160000002</v>
      </c>
      <c r="M35" s="89">
        <f>'MONTHLY STATS'!$K$145*0.21</f>
        <v>4373399.0936999992</v>
      </c>
      <c r="N35" s="89">
        <f>'MONTHLY STATS'!$K$157*0.21</f>
        <v>709275.04200000002</v>
      </c>
      <c r="O35" s="90">
        <f t="shared" si="2"/>
        <v>30329827.283699997</v>
      </c>
      <c r="P35" s="83"/>
    </row>
    <row r="36" spans="1:16" ht="15.75" x14ac:dyDescent="0.25">
      <c r="A36" s="88">
        <f>DATE(2019,12,1)</f>
        <v>43800</v>
      </c>
      <c r="B36" s="89">
        <f>'MONTHLY STATS'!$K$14*0.21</f>
        <v>3075784.9268999998</v>
      </c>
      <c r="C36" s="89">
        <f>'MONTHLY STATS'!$K$26*0.21</f>
        <v>1317813.4179</v>
      </c>
      <c r="D36" s="89">
        <f>'MONTHLY STATS'!$K$38*0.21</f>
        <v>718635.15989999997</v>
      </c>
      <c r="E36" s="89">
        <f>'MONTHLY STATS'!$K$50*0.21</f>
        <v>4116495.5244</v>
      </c>
      <c r="F36" s="89">
        <f>'MONTHLY STATS'!$K$62*0.21</f>
        <v>3126436.6202999996</v>
      </c>
      <c r="G36" s="89">
        <f>'MONTHLY STATS'!$K$74*0.21</f>
        <v>1127257.8050999998</v>
      </c>
      <c r="H36" s="89">
        <f>'MONTHLY STATS'!$K$86*0.21</f>
        <v>1135280.3343</v>
      </c>
      <c r="I36" s="89">
        <f>'MONTHLY STATS'!$K$98*0.21</f>
        <v>2673491.9441999998</v>
      </c>
      <c r="J36" s="89">
        <f>'MONTHLY STATS'!$K$110*0.21</f>
        <v>3293908.8314999999</v>
      </c>
      <c r="K36" s="89">
        <f>'MONTHLY STATS'!$K$122*0.21</f>
        <v>4187187.7844999996</v>
      </c>
      <c r="L36" s="89">
        <f>'MONTHLY STATS'!$K$134*0.21</f>
        <v>585799.54020000005</v>
      </c>
      <c r="M36" s="89">
        <f>'MONTHLY STATS'!$K$146*0.21</f>
        <v>4622112.4277999997</v>
      </c>
      <c r="N36" s="89">
        <f>'MONTHLY STATS'!$K$158*0.21</f>
        <v>742266.73290000006</v>
      </c>
      <c r="O36" s="90">
        <f t="shared" si="2"/>
        <v>30722471.049899999</v>
      </c>
      <c r="P36" s="83"/>
    </row>
    <row r="37" spans="1:16" ht="15.75" x14ac:dyDescent="0.25">
      <c r="A37" s="88">
        <f>DATE(2020,1,1)</f>
        <v>43831</v>
      </c>
      <c r="B37" s="89">
        <f>'MONTHLY STATS'!$K$15*0.21</f>
        <v>2631224.3012999999</v>
      </c>
      <c r="C37" s="89">
        <f>'MONTHLY STATS'!$K$27*0.21</f>
        <v>1183257.3689999999</v>
      </c>
      <c r="D37" s="89">
        <f>'MONTHLY STATS'!$K$39*0.21</f>
        <v>678337.48080000002</v>
      </c>
      <c r="E37" s="89">
        <f>'MONTHLY STATS'!$K$51*0.21</f>
        <v>4016722.5461999997</v>
      </c>
      <c r="F37" s="89">
        <f>'MONTHLY STATS'!$K$63*0.21</f>
        <v>3030307.1672999999</v>
      </c>
      <c r="G37" s="89">
        <f>'MONTHLY STATS'!$K$75*0.21</f>
        <v>1065925.1631</v>
      </c>
      <c r="H37" s="89">
        <f>'MONTHLY STATS'!$K$87*0.21</f>
        <v>1089909.2463</v>
      </c>
      <c r="I37" s="89">
        <f>'MONTHLY STATS'!$K$99*0.21</f>
        <v>2631734.0490000001</v>
      </c>
      <c r="J37" s="89">
        <f>'MONTHLY STATS'!$K$111*0.21</f>
        <v>3163625.7219000002</v>
      </c>
      <c r="K37" s="89">
        <f>'MONTHLY STATS'!$K$123*0.21</f>
        <v>3977640.8783999998</v>
      </c>
      <c r="L37" s="89">
        <f>'MONTHLY STATS'!$K$135*0.21</f>
        <v>537004.50299999991</v>
      </c>
      <c r="M37" s="89">
        <f>'MONTHLY STATS'!$K$147*0.21</f>
        <v>4445968.9742999999</v>
      </c>
      <c r="N37" s="89">
        <f>'MONTHLY STATS'!$K$159*0.21</f>
        <v>716815.55819999997</v>
      </c>
      <c r="O37" s="90">
        <f>SUM(B37:N37)</f>
        <v>29168472.958799999</v>
      </c>
      <c r="P37" s="83"/>
    </row>
    <row r="38" spans="1:16" ht="15.75" x14ac:dyDescent="0.25">
      <c r="A38" s="88">
        <f>DATE(2020,2,1)</f>
        <v>43862</v>
      </c>
      <c r="B38" s="89">
        <f>'MONTHLY STATS'!$K$16*0.21</f>
        <v>2901212.4224999999</v>
      </c>
      <c r="C38" s="89">
        <f>'MONTHLY STATS'!$K$28*0.21</f>
        <v>1409306.7072000001</v>
      </c>
      <c r="D38" s="89">
        <f>'MONTHLY STATS'!$K$40*0.21</f>
        <v>738055.95569999993</v>
      </c>
      <c r="E38" s="89">
        <f>'MONTHLY STATS'!$K$52*0.21</f>
        <v>4329328.5188999996</v>
      </c>
      <c r="F38" s="89">
        <f>'MONTHLY STATS'!$K$64*0.21</f>
        <v>3224181.9981</v>
      </c>
      <c r="G38" s="89">
        <f>'MONTHLY STATS'!$K$76*0.21</f>
        <v>1248158.6879999998</v>
      </c>
      <c r="H38" s="89">
        <f>'MONTHLY STATS'!$K$88*0.21</f>
        <v>1220272.6934999998</v>
      </c>
      <c r="I38" s="89">
        <f>'MONTHLY STATS'!$K$100*0.21</f>
        <v>2965960.0109999999</v>
      </c>
      <c r="J38" s="89">
        <f>'MONTHLY STATS'!$K$112*0.21</f>
        <v>3584589.4643999999</v>
      </c>
      <c r="K38" s="89">
        <f>'MONTHLY STATS'!$K$124*0.21</f>
        <v>3952444.6458000001</v>
      </c>
      <c r="L38" s="89">
        <f>'MONTHLY STATS'!$K$136*0.21</f>
        <v>629510.47739999997</v>
      </c>
      <c r="M38" s="89">
        <f>'MONTHLY STATS'!$K$148*0.21</f>
        <v>4470248.3616000004</v>
      </c>
      <c r="N38" s="89">
        <f>'MONTHLY STATS'!$K$160*0.21</f>
        <v>813178.74120000005</v>
      </c>
      <c r="O38" s="90">
        <f>SUM(B38:N38)</f>
        <v>31486448.6853</v>
      </c>
      <c r="P38" s="83"/>
    </row>
    <row r="39" spans="1:16" ht="15.75" x14ac:dyDescent="0.25">
      <c r="A39" s="88">
        <f>DATE(2020,3,1)</f>
        <v>43891</v>
      </c>
      <c r="B39" s="89">
        <f>'MONTHLY STATS'!$K$17*0.21</f>
        <v>1479497.1786</v>
      </c>
      <c r="C39" s="89">
        <f>'MONTHLY STATS'!$K$29*0.21</f>
        <v>744255.09899999993</v>
      </c>
      <c r="D39" s="89">
        <f>'MONTHLY STATS'!$K$41*0.21</f>
        <v>400390.00679999997</v>
      </c>
      <c r="E39" s="89">
        <f>'MONTHLY STATS'!$K$53*0.21</f>
        <v>1998812.8208999997</v>
      </c>
      <c r="F39" s="89">
        <f>'MONTHLY STATS'!$K$65*0.21</f>
        <v>1521065.7777</v>
      </c>
      <c r="G39" s="89">
        <f>'MONTHLY STATS'!$K$77*0.21</f>
        <v>623695.39049999998</v>
      </c>
      <c r="H39" s="89">
        <f>'MONTHLY STATS'!$K$89*0.21</f>
        <v>702095.8665</v>
      </c>
      <c r="I39" s="89">
        <f>'MONTHLY STATS'!$K$101*0.21</f>
        <v>1526959.0581</v>
      </c>
      <c r="J39" s="89">
        <f>'MONTHLY STATS'!$K$113*0.21</f>
        <v>1797040.6376999998</v>
      </c>
      <c r="K39" s="89">
        <f>'MONTHLY STATS'!$K$125*0.21</f>
        <v>2026151.1416999998</v>
      </c>
      <c r="L39" s="89">
        <f>'MONTHLY STATS'!$K$137*0.21</f>
        <v>382372.31760000001</v>
      </c>
      <c r="M39" s="89">
        <f>'MONTHLY STATS'!$K$149*0.21</f>
        <v>2460703.2134999996</v>
      </c>
      <c r="N39" s="89">
        <f>'MONTHLY STATS'!$K$161*0.21</f>
        <v>445820.44709999993</v>
      </c>
      <c r="O39" s="90">
        <f>SUM(B39:N39)</f>
        <v>16108858.955700001</v>
      </c>
      <c r="P39" s="83"/>
    </row>
    <row r="40" spans="1:16" ht="15.75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29</v>
      </c>
      <c r="B44" s="90">
        <f t="shared" ref="B44:O44" si="3">SUM(B31:B42)</f>
        <v>24622120.378799997</v>
      </c>
      <c r="C44" s="90">
        <f t="shared" si="3"/>
        <v>11534237.567999998</v>
      </c>
      <c r="D44" s="90">
        <f t="shared" si="3"/>
        <v>5880754.6664999994</v>
      </c>
      <c r="E44" s="90">
        <f t="shared" si="3"/>
        <v>35459098.218599997</v>
      </c>
      <c r="F44" s="90">
        <f t="shared" si="3"/>
        <v>26341712.844300002</v>
      </c>
      <c r="G44" s="90">
        <f t="shared" si="3"/>
        <v>9305472.8381999992</v>
      </c>
      <c r="H44" s="90">
        <f t="shared" si="3"/>
        <v>9779567.5697999988</v>
      </c>
      <c r="I44" s="90">
        <f>SUM(I31:I42)</f>
        <v>22772573.2731</v>
      </c>
      <c r="J44" s="90">
        <f t="shared" si="3"/>
        <v>28780448.184600003</v>
      </c>
      <c r="K44" s="90">
        <f>SUM(K31:K42)</f>
        <v>34005299.897100002</v>
      </c>
      <c r="L44" s="90">
        <f t="shared" si="3"/>
        <v>5104848.1343999999</v>
      </c>
      <c r="M44" s="90">
        <f t="shared" si="3"/>
        <v>39131305.896899998</v>
      </c>
      <c r="N44" s="90">
        <f t="shared" si="3"/>
        <v>6269476.9724999992</v>
      </c>
      <c r="O44" s="90">
        <f t="shared" si="3"/>
        <v>258986916.44279999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4"/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</row>
    <row r="48" spans="1:16" x14ac:dyDescent="0.2">
      <c r="A48" s="283"/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</row>
    <row r="49" spans="1:9" ht="15.75" x14ac:dyDescent="0.25">
      <c r="A49" s="115" t="s">
        <v>31</v>
      </c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115"/>
      <c r="B50" s="98"/>
      <c r="C50" s="98"/>
      <c r="D50" s="98"/>
      <c r="E50" s="98"/>
      <c r="F50" s="98"/>
      <c r="G50" s="98"/>
      <c r="H50" s="98"/>
      <c r="I50" s="98"/>
    </row>
    <row r="51" spans="1:9" ht="15.75" x14ac:dyDescent="0.25">
      <c r="A51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70"/>
  <sheetViews>
    <sheetView showOutlineSymbols="0" view="pageBreakPreview" topLeftCell="A139" zoomScale="60" zoomScaleNormal="100" workbookViewId="0">
      <selection activeCell="O117" sqref="O117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32</v>
      </c>
      <c r="B2" s="117"/>
      <c r="C2" s="200"/>
      <c r="D2" s="200"/>
      <c r="E2" s="200"/>
      <c r="F2" s="117"/>
      <c r="G2" s="210"/>
    </row>
    <row r="3" spans="1:8" ht="18" customHeight="1" x14ac:dyDescent="0.25">
      <c r="A3" s="116" t="s">
        <v>72</v>
      </c>
      <c r="B3" s="117"/>
      <c r="C3" s="200"/>
      <c r="D3" s="200"/>
      <c r="E3" s="200"/>
      <c r="F3" s="117"/>
      <c r="G3" s="210"/>
    </row>
    <row r="4" spans="1:8" x14ac:dyDescent="0.2">
      <c r="A4" s="281" t="s">
        <v>73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33</v>
      </c>
      <c r="D6" s="201" t="s">
        <v>33</v>
      </c>
      <c r="E6" s="201" t="s">
        <v>3</v>
      </c>
      <c r="F6" s="122"/>
      <c r="G6" s="212" t="s">
        <v>34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35</v>
      </c>
      <c r="D7" s="202" t="s">
        <v>36</v>
      </c>
      <c r="E7" s="202" t="s">
        <v>36</v>
      </c>
      <c r="F7" s="126" t="s">
        <v>8</v>
      </c>
      <c r="G7" s="213" t="s">
        <v>37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38</v>
      </c>
      <c r="B9" s="131">
        <f>DATE(2019,7,1)</f>
        <v>43647</v>
      </c>
      <c r="C9" s="204">
        <v>11145172</v>
      </c>
      <c r="D9" s="204">
        <v>2192281.5</v>
      </c>
      <c r="E9" s="204">
        <v>1826329</v>
      </c>
      <c r="F9" s="132">
        <f t="shared" ref="F9:F17" si="0">(+D9-E9)/E9</f>
        <v>0.20037600016207374</v>
      </c>
      <c r="G9" s="215">
        <f t="shared" ref="G9:G17" si="1">D9/C9</f>
        <v>0.19670234788660057</v>
      </c>
      <c r="H9" s="123"/>
    </row>
    <row r="10" spans="1:8" ht="15.75" x14ac:dyDescent="0.25">
      <c r="A10" s="130"/>
      <c r="B10" s="131">
        <f>DATE(2019,8,1)</f>
        <v>43678</v>
      </c>
      <c r="C10" s="204">
        <v>9635568</v>
      </c>
      <c r="D10" s="204">
        <v>1845303</v>
      </c>
      <c r="E10" s="204">
        <v>1679235.5</v>
      </c>
      <c r="F10" s="132">
        <f t="shared" si="0"/>
        <v>9.8894705358480092E-2</v>
      </c>
      <c r="G10" s="215">
        <f t="shared" si="1"/>
        <v>0.19150951972940256</v>
      </c>
      <c r="H10" s="123"/>
    </row>
    <row r="11" spans="1:8" ht="15.75" x14ac:dyDescent="0.25">
      <c r="A11" s="130"/>
      <c r="B11" s="131">
        <f>DATE(2019,9,1)</f>
        <v>43709</v>
      </c>
      <c r="C11" s="204">
        <v>9952207.5</v>
      </c>
      <c r="D11" s="204">
        <v>1703371</v>
      </c>
      <c r="E11" s="204">
        <v>2056251</v>
      </c>
      <c r="F11" s="132">
        <f t="shared" si="0"/>
        <v>-0.17161329040083143</v>
      </c>
      <c r="G11" s="215">
        <f t="shared" si="1"/>
        <v>0.17115509297811565</v>
      </c>
      <c r="H11" s="123"/>
    </row>
    <row r="12" spans="1:8" ht="15.75" x14ac:dyDescent="0.25">
      <c r="A12" s="130"/>
      <c r="B12" s="131">
        <f>DATE(2019,10,1)</f>
        <v>43739</v>
      </c>
      <c r="C12" s="204">
        <v>10226229</v>
      </c>
      <c r="D12" s="204">
        <v>1844628</v>
      </c>
      <c r="E12" s="204">
        <v>2198521</v>
      </c>
      <c r="F12" s="132">
        <f t="shared" si="0"/>
        <v>-0.16096866939183205</v>
      </c>
      <c r="G12" s="215">
        <f t="shared" si="1"/>
        <v>0.18038203525463786</v>
      </c>
      <c r="H12" s="123"/>
    </row>
    <row r="13" spans="1:8" ht="15.75" x14ac:dyDescent="0.25">
      <c r="A13" s="130"/>
      <c r="B13" s="131">
        <f>DATE(2019,11,1)</f>
        <v>43770</v>
      </c>
      <c r="C13" s="204">
        <v>9749060.5</v>
      </c>
      <c r="D13" s="204">
        <v>1695412.5</v>
      </c>
      <c r="E13" s="204">
        <v>2373996</v>
      </c>
      <c r="F13" s="132">
        <f t="shared" si="0"/>
        <v>-0.28584020360607176</v>
      </c>
      <c r="G13" s="215">
        <f t="shared" si="1"/>
        <v>0.17390521886698723</v>
      </c>
      <c r="H13" s="123"/>
    </row>
    <row r="14" spans="1:8" ht="15.75" x14ac:dyDescent="0.25">
      <c r="A14" s="130"/>
      <c r="B14" s="131">
        <f>DATE(2019,12,1)</f>
        <v>43800</v>
      </c>
      <c r="C14" s="204">
        <v>10058823</v>
      </c>
      <c r="D14" s="204">
        <v>1854155.5</v>
      </c>
      <c r="E14" s="204">
        <v>2548450</v>
      </c>
      <c r="F14" s="132">
        <f t="shared" si="0"/>
        <v>-0.27243795248091979</v>
      </c>
      <c r="G14" s="215">
        <f t="shared" si="1"/>
        <v>0.18433125823965688</v>
      </c>
      <c r="H14" s="123"/>
    </row>
    <row r="15" spans="1:8" ht="15.75" x14ac:dyDescent="0.25">
      <c r="A15" s="130"/>
      <c r="B15" s="131">
        <f>DATE(2020,1,1)</f>
        <v>43831</v>
      </c>
      <c r="C15" s="204">
        <v>9880479.5</v>
      </c>
      <c r="D15" s="204">
        <v>1814739</v>
      </c>
      <c r="E15" s="204">
        <v>2049686.5</v>
      </c>
      <c r="F15" s="132">
        <f t="shared" si="0"/>
        <v>-0.11462606598618862</v>
      </c>
      <c r="G15" s="215">
        <f t="shared" si="1"/>
        <v>0.18366912253600648</v>
      </c>
      <c r="H15" s="123"/>
    </row>
    <row r="16" spans="1:8" ht="15.75" x14ac:dyDescent="0.25">
      <c r="A16" s="130"/>
      <c r="B16" s="131">
        <f>DATE(2020,2,1)</f>
        <v>43862</v>
      </c>
      <c r="C16" s="204">
        <v>10500879.25</v>
      </c>
      <c r="D16" s="204">
        <v>1907085.75</v>
      </c>
      <c r="E16" s="204">
        <v>1917312.5</v>
      </c>
      <c r="F16" s="132">
        <f t="shared" si="0"/>
        <v>-5.3338983603351047E-3</v>
      </c>
      <c r="G16" s="215">
        <f t="shared" si="1"/>
        <v>0.18161200644222245</v>
      </c>
      <c r="H16" s="123"/>
    </row>
    <row r="17" spans="1:8" ht="15.75" x14ac:dyDescent="0.25">
      <c r="A17" s="130"/>
      <c r="B17" s="131">
        <f>DATE(2020,3,1)</f>
        <v>43891</v>
      </c>
      <c r="C17" s="204">
        <v>5804217</v>
      </c>
      <c r="D17" s="204">
        <v>1133526.5</v>
      </c>
      <c r="E17" s="204">
        <v>1899536.5</v>
      </c>
      <c r="F17" s="132">
        <f t="shared" si="0"/>
        <v>-0.40326153248437185</v>
      </c>
      <c r="G17" s="215">
        <f t="shared" si="1"/>
        <v>0.19529361152417285</v>
      </c>
      <c r="H17" s="123"/>
    </row>
    <row r="18" spans="1:8" ht="15.75" thickBot="1" x14ac:dyDescent="0.25">
      <c r="A18" s="133"/>
      <c r="B18" s="134"/>
      <c r="C18" s="204"/>
      <c r="D18" s="204"/>
      <c r="E18" s="204"/>
      <c r="F18" s="132"/>
      <c r="G18" s="215"/>
      <c r="H18" s="123"/>
    </row>
    <row r="19" spans="1:8" ht="17.25" thickTop="1" thickBot="1" x14ac:dyDescent="0.3">
      <c r="A19" s="135" t="s">
        <v>14</v>
      </c>
      <c r="B19" s="136"/>
      <c r="C19" s="201">
        <f>SUM(C9:C18)</f>
        <v>86952635.75</v>
      </c>
      <c r="D19" s="201">
        <f>SUM(D9:D18)</f>
        <v>15990502.75</v>
      </c>
      <c r="E19" s="201">
        <f>SUM(E9:E18)</f>
        <v>18549318</v>
      </c>
      <c r="F19" s="137">
        <f>(+D19-E19)/E19</f>
        <v>-0.13794659458638855</v>
      </c>
      <c r="G19" s="212">
        <f>D19/C19</f>
        <v>0.18389899986441757</v>
      </c>
      <c r="H19" s="123"/>
    </row>
    <row r="20" spans="1:8" ht="15.75" customHeight="1" thickTop="1" x14ac:dyDescent="0.25">
      <c r="A20" s="138"/>
      <c r="B20" s="139"/>
      <c r="C20" s="205"/>
      <c r="D20" s="205"/>
      <c r="E20" s="205"/>
      <c r="F20" s="140"/>
      <c r="G20" s="216"/>
      <c r="H20" s="123"/>
    </row>
    <row r="21" spans="1:8" ht="15.75" x14ac:dyDescent="0.25">
      <c r="A21" s="19" t="s">
        <v>15</v>
      </c>
      <c r="B21" s="131">
        <f>DATE(2019,7,1)</f>
        <v>43647</v>
      </c>
      <c r="C21" s="204">
        <v>2591163</v>
      </c>
      <c r="D21" s="204">
        <v>728719</v>
      </c>
      <c r="E21" s="204">
        <v>544502.5</v>
      </c>
      <c r="F21" s="132">
        <f t="shared" ref="F21:F29" si="2">(+D21-E21)/E21</f>
        <v>0.33832076069439532</v>
      </c>
      <c r="G21" s="215">
        <f t="shared" ref="G21:G29" si="3">D21/C21</f>
        <v>0.28123240413667533</v>
      </c>
      <c r="H21" s="123"/>
    </row>
    <row r="22" spans="1:8" ht="15.75" x14ac:dyDescent="0.25">
      <c r="A22" s="19"/>
      <c r="B22" s="131">
        <f>DATE(2019,8,1)</f>
        <v>43678</v>
      </c>
      <c r="C22" s="204">
        <v>2727354</v>
      </c>
      <c r="D22" s="204">
        <v>718107.5</v>
      </c>
      <c r="E22" s="204">
        <v>656165</v>
      </c>
      <c r="F22" s="132">
        <f t="shared" si="2"/>
        <v>9.440079857962555E-2</v>
      </c>
      <c r="G22" s="215">
        <f t="shared" si="3"/>
        <v>0.26329823704586935</v>
      </c>
      <c r="H22" s="123"/>
    </row>
    <row r="23" spans="1:8" ht="15.75" x14ac:dyDescent="0.25">
      <c r="A23" s="19"/>
      <c r="B23" s="131">
        <f>DATE(2019,9,1)</f>
        <v>43709</v>
      </c>
      <c r="C23" s="204">
        <v>2626262</v>
      </c>
      <c r="D23" s="204">
        <v>573243</v>
      </c>
      <c r="E23" s="204">
        <v>251895.5</v>
      </c>
      <c r="F23" s="132">
        <f t="shared" si="2"/>
        <v>1.2757175098403901</v>
      </c>
      <c r="G23" s="215">
        <f t="shared" si="3"/>
        <v>0.21827334820364458</v>
      </c>
      <c r="H23" s="123"/>
    </row>
    <row r="24" spans="1:8" ht="15.75" x14ac:dyDescent="0.25">
      <c r="A24" s="19"/>
      <c r="B24" s="131">
        <f>DATE(2019,10,1)</f>
        <v>43739</v>
      </c>
      <c r="C24" s="204">
        <v>2539016.5</v>
      </c>
      <c r="D24" s="204">
        <v>591260.5</v>
      </c>
      <c r="E24" s="204">
        <v>763257.5</v>
      </c>
      <c r="F24" s="132">
        <f t="shared" si="2"/>
        <v>-0.22534596777627472</v>
      </c>
      <c r="G24" s="215">
        <f t="shared" si="3"/>
        <v>0.23286989273208741</v>
      </c>
      <c r="H24" s="123"/>
    </row>
    <row r="25" spans="1:8" ht="15.75" x14ac:dyDescent="0.25">
      <c r="A25" s="19"/>
      <c r="B25" s="131">
        <f>DATE(2019,11,1)</f>
        <v>43770</v>
      </c>
      <c r="C25" s="204">
        <v>2588437</v>
      </c>
      <c r="D25" s="204">
        <v>527573</v>
      </c>
      <c r="E25" s="204">
        <v>497141.5</v>
      </c>
      <c r="F25" s="132">
        <f t="shared" si="2"/>
        <v>6.1212954460651545E-2</v>
      </c>
      <c r="G25" s="215">
        <f t="shared" si="3"/>
        <v>0.20381913873121116</v>
      </c>
      <c r="H25" s="123"/>
    </row>
    <row r="26" spans="1:8" ht="15.75" x14ac:dyDescent="0.25">
      <c r="A26" s="19"/>
      <c r="B26" s="131">
        <f>DATE(2019,12,1)</f>
        <v>43800</v>
      </c>
      <c r="C26" s="204">
        <v>2806085</v>
      </c>
      <c r="D26" s="204">
        <v>731643</v>
      </c>
      <c r="E26" s="204">
        <v>725952.5</v>
      </c>
      <c r="F26" s="132">
        <f t="shared" si="2"/>
        <v>7.8386671304252007E-3</v>
      </c>
      <c r="G26" s="215">
        <f t="shared" si="3"/>
        <v>0.2607344396196124</v>
      </c>
      <c r="H26" s="123"/>
    </row>
    <row r="27" spans="1:8" ht="15.75" x14ac:dyDescent="0.25">
      <c r="A27" s="19"/>
      <c r="B27" s="131">
        <f>DATE(2020,1,1)</f>
        <v>43831</v>
      </c>
      <c r="C27" s="204">
        <v>2708624</v>
      </c>
      <c r="D27" s="204">
        <v>617104</v>
      </c>
      <c r="E27" s="204">
        <v>538538</v>
      </c>
      <c r="F27" s="132">
        <f t="shared" si="2"/>
        <v>0.14588756967939123</v>
      </c>
      <c r="G27" s="215">
        <f t="shared" si="3"/>
        <v>0.2278293332703247</v>
      </c>
      <c r="H27" s="123"/>
    </row>
    <row r="28" spans="1:8" ht="15.75" x14ac:dyDescent="0.25">
      <c r="A28" s="19"/>
      <c r="B28" s="131">
        <f>DATE(2020,2,1)</f>
        <v>43862</v>
      </c>
      <c r="C28" s="204">
        <v>3033684</v>
      </c>
      <c r="D28" s="204">
        <v>597734</v>
      </c>
      <c r="E28" s="204">
        <v>807451</v>
      </c>
      <c r="F28" s="132">
        <f t="shared" si="2"/>
        <v>-0.25972721564528373</v>
      </c>
      <c r="G28" s="215">
        <f t="shared" si="3"/>
        <v>0.1970323870251483</v>
      </c>
      <c r="H28" s="123"/>
    </row>
    <row r="29" spans="1:8" ht="15.75" x14ac:dyDescent="0.25">
      <c r="A29" s="19"/>
      <c r="B29" s="131">
        <f>DATE(2020,3,1)</f>
        <v>43891</v>
      </c>
      <c r="C29" s="204">
        <v>1589631.5</v>
      </c>
      <c r="D29" s="204">
        <v>408496.5</v>
      </c>
      <c r="E29" s="204">
        <v>436422.5</v>
      </c>
      <c r="F29" s="132">
        <f t="shared" si="2"/>
        <v>-6.3988451557836723E-2</v>
      </c>
      <c r="G29" s="215">
        <f t="shared" si="3"/>
        <v>0.25697559465825887</v>
      </c>
      <c r="H29" s="123"/>
    </row>
    <row r="30" spans="1:8" ht="15.75" thickBot="1" x14ac:dyDescent="0.25">
      <c r="A30" s="133"/>
      <c r="B30" s="131"/>
      <c r="C30" s="204"/>
      <c r="D30" s="204"/>
      <c r="E30" s="204"/>
      <c r="F30" s="132"/>
      <c r="G30" s="215"/>
      <c r="H30" s="123"/>
    </row>
    <row r="31" spans="1:8" ht="17.25" thickTop="1" thickBot="1" x14ac:dyDescent="0.3">
      <c r="A31" s="135" t="s">
        <v>14</v>
      </c>
      <c r="B31" s="136"/>
      <c r="C31" s="201">
        <f>SUM(C21:C30)</f>
        <v>23210257</v>
      </c>
      <c r="D31" s="201">
        <f>SUM(D21:D30)</f>
        <v>5493880.5</v>
      </c>
      <c r="E31" s="201">
        <f>SUM(E21:E30)</f>
        <v>5221326</v>
      </c>
      <c r="F31" s="137">
        <f>(+D31-E31)/E31</f>
        <v>5.2200245684716873E-2</v>
      </c>
      <c r="G31" s="212">
        <f>D31/C31</f>
        <v>0.23670054579748945</v>
      </c>
      <c r="H31" s="123"/>
    </row>
    <row r="32" spans="1:8" ht="15.75" customHeight="1" thickTop="1" x14ac:dyDescent="0.25">
      <c r="A32" s="255"/>
      <c r="B32" s="139"/>
      <c r="C32" s="205"/>
      <c r="D32" s="205"/>
      <c r="E32" s="205"/>
      <c r="F32" s="140"/>
      <c r="G32" s="219"/>
      <c r="H32" s="123"/>
    </row>
    <row r="33" spans="1:8" ht="15.75" x14ac:dyDescent="0.25">
      <c r="A33" s="19" t="s">
        <v>56</v>
      </c>
      <c r="B33" s="131">
        <f>DATE(2019,7,1)</f>
        <v>43647</v>
      </c>
      <c r="C33" s="204">
        <v>1246714</v>
      </c>
      <c r="D33" s="204">
        <v>293379.5</v>
      </c>
      <c r="E33" s="204">
        <v>373264</v>
      </c>
      <c r="F33" s="132">
        <f t="shared" ref="F33:F41" si="4">(+D33-E33)/E33</f>
        <v>-0.2140160851300956</v>
      </c>
      <c r="G33" s="215">
        <f t="shared" ref="G33:G41" si="5">D33/C33</f>
        <v>0.23532221503889425</v>
      </c>
      <c r="H33" s="123"/>
    </row>
    <row r="34" spans="1:8" ht="15.75" x14ac:dyDescent="0.25">
      <c r="A34" s="19"/>
      <c r="B34" s="131">
        <f>DATE(2019,8,1)</f>
        <v>43678</v>
      </c>
      <c r="C34" s="204">
        <v>1240704</v>
      </c>
      <c r="D34" s="204">
        <v>306469</v>
      </c>
      <c r="E34" s="204">
        <v>339140.5</v>
      </c>
      <c r="F34" s="132">
        <f t="shared" si="4"/>
        <v>-9.6336179253141391E-2</v>
      </c>
      <c r="G34" s="215">
        <f t="shared" si="5"/>
        <v>0.24701218018157434</v>
      </c>
      <c r="H34" s="123"/>
    </row>
    <row r="35" spans="1:8" ht="15.75" x14ac:dyDescent="0.25">
      <c r="A35" s="19"/>
      <c r="B35" s="131">
        <f>DATE(2019,9,1)</f>
        <v>43709</v>
      </c>
      <c r="C35" s="204">
        <v>1288109</v>
      </c>
      <c r="D35" s="204">
        <v>301048.5</v>
      </c>
      <c r="E35" s="204">
        <v>349109</v>
      </c>
      <c r="F35" s="132">
        <f t="shared" si="4"/>
        <v>-0.13766617302905396</v>
      </c>
      <c r="G35" s="215">
        <f t="shared" si="5"/>
        <v>0.23371352890166905</v>
      </c>
      <c r="H35" s="123"/>
    </row>
    <row r="36" spans="1:8" ht="15.75" x14ac:dyDescent="0.25">
      <c r="A36" s="19"/>
      <c r="B36" s="131">
        <f>DATE(2019,10,1)</f>
        <v>43739</v>
      </c>
      <c r="C36" s="204">
        <v>1303670</v>
      </c>
      <c r="D36" s="204">
        <v>332474</v>
      </c>
      <c r="E36" s="204">
        <v>213321.5</v>
      </c>
      <c r="F36" s="132">
        <f t="shared" si="4"/>
        <v>0.55855832628216096</v>
      </c>
      <c r="G36" s="215">
        <f t="shared" si="5"/>
        <v>0.25502926354061994</v>
      </c>
      <c r="H36" s="123"/>
    </row>
    <row r="37" spans="1:8" ht="15.75" x14ac:dyDescent="0.25">
      <c r="A37" s="19"/>
      <c r="B37" s="131">
        <f>DATE(2019,11,1)</f>
        <v>43770</v>
      </c>
      <c r="C37" s="204">
        <v>1310179</v>
      </c>
      <c r="D37" s="204">
        <v>408121.5</v>
      </c>
      <c r="E37" s="204">
        <v>301353.5</v>
      </c>
      <c r="F37" s="132">
        <f t="shared" si="4"/>
        <v>0.35429487296480711</v>
      </c>
      <c r="G37" s="215">
        <f t="shared" si="5"/>
        <v>0.3115005659532018</v>
      </c>
      <c r="H37" s="123"/>
    </row>
    <row r="38" spans="1:8" ht="15.75" x14ac:dyDescent="0.25">
      <c r="A38" s="19"/>
      <c r="B38" s="131">
        <f>DATE(2019,12,1)</f>
        <v>43800</v>
      </c>
      <c r="C38" s="204">
        <v>1419526</v>
      </c>
      <c r="D38" s="204">
        <v>350849</v>
      </c>
      <c r="E38" s="204">
        <v>461887</v>
      </c>
      <c r="F38" s="132">
        <f t="shared" si="4"/>
        <v>-0.24040079066957937</v>
      </c>
      <c r="G38" s="215">
        <f t="shared" si="5"/>
        <v>0.24715926302160016</v>
      </c>
      <c r="H38" s="123"/>
    </row>
    <row r="39" spans="1:8" ht="15.75" x14ac:dyDescent="0.25">
      <c r="A39" s="19"/>
      <c r="B39" s="131">
        <f>DATE(2020,1,1)</f>
        <v>43831</v>
      </c>
      <c r="C39" s="204">
        <v>1523821</v>
      </c>
      <c r="D39" s="204">
        <v>350509</v>
      </c>
      <c r="E39" s="204">
        <v>327327.5</v>
      </c>
      <c r="F39" s="132">
        <f t="shared" si="4"/>
        <v>7.0820508512117075E-2</v>
      </c>
      <c r="G39" s="215">
        <f t="shared" si="5"/>
        <v>0.23001979891338944</v>
      </c>
      <c r="H39" s="123"/>
    </row>
    <row r="40" spans="1:8" ht="15.75" x14ac:dyDescent="0.25">
      <c r="A40" s="19"/>
      <c r="B40" s="131">
        <f>DATE(2020,2,1)</f>
        <v>43862</v>
      </c>
      <c r="C40" s="204">
        <v>1686134</v>
      </c>
      <c r="D40" s="204">
        <v>404769.5</v>
      </c>
      <c r="E40" s="204">
        <v>275261</v>
      </c>
      <c r="F40" s="132">
        <f t="shared" si="4"/>
        <v>0.47049345893533773</v>
      </c>
      <c r="G40" s="215">
        <f t="shared" si="5"/>
        <v>0.24005772969408126</v>
      </c>
      <c r="H40" s="123"/>
    </row>
    <row r="41" spans="1:8" ht="15.75" x14ac:dyDescent="0.25">
      <c r="A41" s="19"/>
      <c r="B41" s="131">
        <f>DATE(2020,3,1)</f>
        <v>43891</v>
      </c>
      <c r="C41" s="204">
        <v>849596</v>
      </c>
      <c r="D41" s="204">
        <v>280036</v>
      </c>
      <c r="E41" s="204">
        <v>433986.5</v>
      </c>
      <c r="F41" s="132">
        <f t="shared" si="4"/>
        <v>-0.35473568878294603</v>
      </c>
      <c r="G41" s="215">
        <f t="shared" si="5"/>
        <v>0.32961077971176889</v>
      </c>
      <c r="H41" s="123"/>
    </row>
    <row r="42" spans="1:8" ht="15.75" thickBot="1" x14ac:dyDescent="0.25">
      <c r="A42" s="133"/>
      <c r="B42" s="131"/>
      <c r="C42" s="204"/>
      <c r="D42" s="204"/>
      <c r="E42" s="204"/>
      <c r="F42" s="132"/>
      <c r="G42" s="215"/>
      <c r="H42" s="123"/>
    </row>
    <row r="43" spans="1:8" ht="17.25" thickTop="1" thickBot="1" x14ac:dyDescent="0.3">
      <c r="A43" s="141" t="s">
        <v>14</v>
      </c>
      <c r="B43" s="142"/>
      <c r="C43" s="206">
        <f>SUM(C33:C42)</f>
        <v>11868453</v>
      </c>
      <c r="D43" s="206">
        <f>SUM(D33:D42)</f>
        <v>3027656</v>
      </c>
      <c r="E43" s="206">
        <f>SUM(E33:E42)</f>
        <v>3074650.5</v>
      </c>
      <c r="F43" s="143">
        <f>(+D43-E43)/E43</f>
        <v>-1.5284501441708578E-2</v>
      </c>
      <c r="G43" s="217">
        <f>D43/C43</f>
        <v>0.255101149239922</v>
      </c>
      <c r="H43" s="123"/>
    </row>
    <row r="44" spans="1:8" ht="15.75" thickTop="1" x14ac:dyDescent="0.2">
      <c r="A44" s="133"/>
      <c r="B44" s="134"/>
      <c r="C44" s="204"/>
      <c r="D44" s="204"/>
      <c r="E44" s="204"/>
      <c r="F44" s="132"/>
      <c r="G44" s="218"/>
      <c r="H44" s="123"/>
    </row>
    <row r="45" spans="1:8" ht="15.75" x14ac:dyDescent="0.25">
      <c r="A45" s="177" t="s">
        <v>65</v>
      </c>
      <c r="B45" s="131">
        <f>DATE(2019,7,1)</f>
        <v>43647</v>
      </c>
      <c r="C45" s="204">
        <v>16460624.75</v>
      </c>
      <c r="D45" s="204">
        <v>3167330.9</v>
      </c>
      <c r="E45" s="204">
        <v>2640847.2400000002</v>
      </c>
      <c r="F45" s="132">
        <f t="shared" ref="F45:F53" si="6">(+D45-E45)/E45</f>
        <v>0.19936164880176849</v>
      </c>
      <c r="G45" s="215">
        <f t="shared" ref="G45:G53" si="7">D45/C45</f>
        <v>0.19241863222718808</v>
      </c>
      <c r="H45" s="123"/>
    </row>
    <row r="46" spans="1:8" ht="15.75" x14ac:dyDescent="0.25">
      <c r="A46" s="177"/>
      <c r="B46" s="131">
        <f>DATE(2019,8,1)</f>
        <v>43678</v>
      </c>
      <c r="C46" s="204">
        <v>17103013</v>
      </c>
      <c r="D46" s="204">
        <v>3869820.12</v>
      </c>
      <c r="E46" s="204">
        <v>3019576.86</v>
      </c>
      <c r="F46" s="132">
        <f t="shared" si="6"/>
        <v>0.28157695578578523</v>
      </c>
      <c r="G46" s="215">
        <f t="shared" si="7"/>
        <v>0.2262654024761602</v>
      </c>
      <c r="H46" s="123"/>
    </row>
    <row r="47" spans="1:8" ht="15.75" x14ac:dyDescent="0.25">
      <c r="A47" s="177"/>
      <c r="B47" s="131">
        <f>DATE(2019,9,1)</f>
        <v>43709</v>
      </c>
      <c r="C47" s="204">
        <v>13722156.5</v>
      </c>
      <c r="D47" s="204">
        <v>2776000.96</v>
      </c>
      <c r="E47" s="204">
        <v>3074145.25</v>
      </c>
      <c r="F47" s="132">
        <f t="shared" si="6"/>
        <v>-9.698445120639633E-2</v>
      </c>
      <c r="G47" s="215">
        <f t="shared" si="7"/>
        <v>0.20230063401477749</v>
      </c>
      <c r="H47" s="123"/>
    </row>
    <row r="48" spans="1:8" ht="15.75" x14ac:dyDescent="0.25">
      <c r="A48" s="177"/>
      <c r="B48" s="131">
        <f>DATE(2019,10,1)</f>
        <v>43739</v>
      </c>
      <c r="C48" s="204">
        <v>13658392</v>
      </c>
      <c r="D48" s="204">
        <v>3235048.5</v>
      </c>
      <c r="E48" s="204">
        <v>2577292.69</v>
      </c>
      <c r="F48" s="132">
        <f t="shared" si="6"/>
        <v>0.25521191774303292</v>
      </c>
      <c r="G48" s="215">
        <f t="shared" si="7"/>
        <v>0.23685427245022694</v>
      </c>
      <c r="H48" s="123"/>
    </row>
    <row r="49" spans="1:8" ht="15.75" x14ac:dyDescent="0.25">
      <c r="A49" s="177"/>
      <c r="B49" s="131">
        <f>DATE(2019,11,1)</f>
        <v>43770</v>
      </c>
      <c r="C49" s="204">
        <v>17067350</v>
      </c>
      <c r="D49" s="204">
        <v>3242492.5</v>
      </c>
      <c r="E49" s="204">
        <v>2885158.69</v>
      </c>
      <c r="F49" s="132">
        <f t="shared" si="6"/>
        <v>0.12385239371356729</v>
      </c>
      <c r="G49" s="215">
        <f t="shared" si="7"/>
        <v>0.18998218821316726</v>
      </c>
      <c r="H49" s="123"/>
    </row>
    <row r="50" spans="1:8" ht="15.75" x14ac:dyDescent="0.25">
      <c r="A50" s="177"/>
      <c r="B50" s="131">
        <f>DATE(2019,12,1)</f>
        <v>43800</v>
      </c>
      <c r="C50" s="204">
        <v>14731573</v>
      </c>
      <c r="D50" s="204">
        <v>2919239.74</v>
      </c>
      <c r="E50" s="204">
        <v>2894970.85</v>
      </c>
      <c r="F50" s="132">
        <f t="shared" si="6"/>
        <v>8.3831206797816745E-3</v>
      </c>
      <c r="G50" s="215">
        <f t="shared" si="7"/>
        <v>0.1981621202297949</v>
      </c>
      <c r="H50" s="123"/>
    </row>
    <row r="51" spans="1:8" ht="15.75" x14ac:dyDescent="0.25">
      <c r="A51" s="177"/>
      <c r="B51" s="131">
        <f>DATE(2020,1,1)</f>
        <v>43831</v>
      </c>
      <c r="C51" s="204">
        <v>13593915</v>
      </c>
      <c r="D51" s="204">
        <v>2925730.5</v>
      </c>
      <c r="E51" s="204">
        <v>2972641.43</v>
      </c>
      <c r="F51" s="132">
        <f t="shared" si="6"/>
        <v>-1.5780890869168895E-2</v>
      </c>
      <c r="G51" s="215">
        <f t="shared" si="7"/>
        <v>0.21522353935566024</v>
      </c>
      <c r="H51" s="123"/>
    </row>
    <row r="52" spans="1:8" ht="15.75" x14ac:dyDescent="0.25">
      <c r="A52" s="177"/>
      <c r="B52" s="131">
        <f>DATE(2020,2,1)</f>
        <v>43862</v>
      </c>
      <c r="C52" s="204">
        <v>15685351</v>
      </c>
      <c r="D52" s="204">
        <v>3337882.2</v>
      </c>
      <c r="E52" s="204">
        <v>3194583.97</v>
      </c>
      <c r="F52" s="132">
        <f t="shared" si="6"/>
        <v>4.4856617120006388E-2</v>
      </c>
      <c r="G52" s="215">
        <f t="shared" si="7"/>
        <v>0.21280251873228723</v>
      </c>
      <c r="H52" s="123"/>
    </row>
    <row r="53" spans="1:8" ht="15.75" x14ac:dyDescent="0.25">
      <c r="A53" s="177"/>
      <c r="B53" s="131">
        <f>DATE(2020,3,1)</f>
        <v>43891</v>
      </c>
      <c r="C53" s="204">
        <v>7419673</v>
      </c>
      <c r="D53" s="204">
        <v>1497971.95</v>
      </c>
      <c r="E53" s="204">
        <v>4211392</v>
      </c>
      <c r="F53" s="132">
        <f t="shared" si="6"/>
        <v>-0.64430479280959829</v>
      </c>
      <c r="G53" s="215">
        <f t="shared" si="7"/>
        <v>0.20189190952215819</v>
      </c>
      <c r="H53" s="123"/>
    </row>
    <row r="54" spans="1:8" ht="15.75" customHeight="1" thickBot="1" x14ac:dyDescent="0.25">
      <c r="A54" s="133"/>
      <c r="B54" s="134"/>
      <c r="C54" s="204"/>
      <c r="D54" s="204"/>
      <c r="E54" s="204"/>
      <c r="F54" s="132"/>
      <c r="G54" s="215"/>
      <c r="H54" s="123"/>
    </row>
    <row r="55" spans="1:8" ht="17.25" customHeight="1" thickTop="1" thickBot="1" x14ac:dyDescent="0.3">
      <c r="A55" s="141" t="s">
        <v>14</v>
      </c>
      <c r="B55" s="142"/>
      <c r="C55" s="206">
        <f>SUM(C45:C54)</f>
        <v>129442048.25</v>
      </c>
      <c r="D55" s="206">
        <f>SUM(D45:D54)</f>
        <v>26971517.369999997</v>
      </c>
      <c r="E55" s="206">
        <f>SUM(E45:E54)</f>
        <v>27470608.979999997</v>
      </c>
      <c r="F55" s="143">
        <f>(+D55-E55)/E55</f>
        <v>-1.8168203346469805E-2</v>
      </c>
      <c r="G55" s="217">
        <f>D55/C55</f>
        <v>0.20836751067093839</v>
      </c>
      <c r="H55" s="123"/>
    </row>
    <row r="56" spans="1:8" ht="15.75" customHeight="1" thickTop="1" x14ac:dyDescent="0.2">
      <c r="A56" s="133"/>
      <c r="B56" s="134"/>
      <c r="C56" s="204"/>
      <c r="D56" s="204"/>
      <c r="E56" s="204"/>
      <c r="F56" s="132"/>
      <c r="G56" s="218"/>
      <c r="H56" s="123"/>
    </row>
    <row r="57" spans="1:8" ht="15" customHeight="1" x14ac:dyDescent="0.25">
      <c r="A57" s="130" t="s">
        <v>39</v>
      </c>
      <c r="B57" s="131">
        <f>DATE(2019,7,1)</f>
        <v>43647</v>
      </c>
      <c r="C57" s="204">
        <v>14612843</v>
      </c>
      <c r="D57" s="204">
        <v>2665528.5</v>
      </c>
      <c r="E57" s="204">
        <v>3513953.5</v>
      </c>
      <c r="F57" s="132">
        <f t="shared" ref="F57:F65" si="8">(+D57-E57)/E57</f>
        <v>-0.241444572331421</v>
      </c>
      <c r="G57" s="215">
        <f t="shared" ref="G57:G65" si="9">D57/C57</f>
        <v>0.1824099868861932</v>
      </c>
      <c r="H57" s="123"/>
    </row>
    <row r="58" spans="1:8" ht="15" customHeight="1" x14ac:dyDescent="0.25">
      <c r="A58" s="130"/>
      <c r="B58" s="131">
        <f>DATE(2019,8,1)</f>
        <v>43678</v>
      </c>
      <c r="C58" s="204">
        <v>15994186</v>
      </c>
      <c r="D58" s="204">
        <v>3359489.5</v>
      </c>
      <c r="E58" s="204">
        <v>3570821.5</v>
      </c>
      <c r="F58" s="132">
        <f t="shared" si="8"/>
        <v>-5.9183019929727652E-2</v>
      </c>
      <c r="G58" s="215">
        <f t="shared" si="9"/>
        <v>0.21004441864062354</v>
      </c>
      <c r="H58" s="123"/>
    </row>
    <row r="59" spans="1:8" ht="15" customHeight="1" x14ac:dyDescent="0.25">
      <c r="A59" s="130"/>
      <c r="B59" s="131">
        <f>DATE(2019,9,1)</f>
        <v>43709</v>
      </c>
      <c r="C59" s="204">
        <v>14986232</v>
      </c>
      <c r="D59" s="204">
        <v>3201605.5</v>
      </c>
      <c r="E59" s="204">
        <v>3367544</v>
      </c>
      <c r="F59" s="132">
        <f t="shared" si="8"/>
        <v>-4.9275822379752129E-2</v>
      </c>
      <c r="G59" s="215">
        <f t="shared" si="9"/>
        <v>0.21363645644882584</v>
      </c>
      <c r="H59" s="123"/>
    </row>
    <row r="60" spans="1:8" ht="15" customHeight="1" x14ac:dyDescent="0.25">
      <c r="A60" s="130"/>
      <c r="B60" s="131">
        <f>DATE(2019,10,1)</f>
        <v>43739</v>
      </c>
      <c r="C60" s="204">
        <v>15802061</v>
      </c>
      <c r="D60" s="204">
        <v>3223827</v>
      </c>
      <c r="E60" s="204">
        <v>3631888</v>
      </c>
      <c r="F60" s="132">
        <f t="shared" si="8"/>
        <v>-0.11235506160982937</v>
      </c>
      <c r="G60" s="215">
        <f t="shared" si="9"/>
        <v>0.20401307145947609</v>
      </c>
      <c r="H60" s="123"/>
    </row>
    <row r="61" spans="1:8" ht="15" customHeight="1" x14ac:dyDescent="0.25">
      <c r="A61" s="130"/>
      <c r="B61" s="131">
        <f>DATE(2019,11,1)</f>
        <v>43770</v>
      </c>
      <c r="C61" s="204">
        <v>15611065</v>
      </c>
      <c r="D61" s="204">
        <v>2721670</v>
      </c>
      <c r="E61" s="204">
        <v>3478954.5</v>
      </c>
      <c r="F61" s="132">
        <f t="shared" si="8"/>
        <v>-0.21767588509708879</v>
      </c>
      <c r="G61" s="215">
        <f t="shared" si="9"/>
        <v>0.17434236549524329</v>
      </c>
      <c r="H61" s="123"/>
    </row>
    <row r="62" spans="1:8" ht="15" customHeight="1" x14ac:dyDescent="0.25">
      <c r="A62" s="130"/>
      <c r="B62" s="131">
        <f>DATE(2019,12,1)</f>
        <v>43800</v>
      </c>
      <c r="C62" s="204">
        <v>16030300</v>
      </c>
      <c r="D62" s="204">
        <v>2841867</v>
      </c>
      <c r="E62" s="204">
        <v>3863094</v>
      </c>
      <c r="F62" s="132">
        <f t="shared" si="8"/>
        <v>-0.26435468564834302</v>
      </c>
      <c r="G62" s="215">
        <f t="shared" si="9"/>
        <v>0.17728096167882074</v>
      </c>
      <c r="H62" s="123"/>
    </row>
    <row r="63" spans="1:8" ht="15" customHeight="1" x14ac:dyDescent="0.25">
      <c r="A63" s="130"/>
      <c r="B63" s="131">
        <f>DATE(2020,1,1)</f>
        <v>43831</v>
      </c>
      <c r="C63" s="204">
        <v>15798016</v>
      </c>
      <c r="D63" s="204">
        <v>3701292</v>
      </c>
      <c r="E63" s="204">
        <v>2474875.5</v>
      </c>
      <c r="F63" s="132">
        <f t="shared" si="8"/>
        <v>0.49554674568478291</v>
      </c>
      <c r="G63" s="215">
        <f t="shared" si="9"/>
        <v>0.23428840684804977</v>
      </c>
      <c r="H63" s="123"/>
    </row>
    <row r="64" spans="1:8" ht="15" customHeight="1" x14ac:dyDescent="0.25">
      <c r="A64" s="130"/>
      <c r="B64" s="131">
        <f>DATE(2020,2,1)</f>
        <v>43862</v>
      </c>
      <c r="C64" s="204">
        <v>14175700.5</v>
      </c>
      <c r="D64" s="204">
        <v>3050097</v>
      </c>
      <c r="E64" s="204">
        <v>2417434</v>
      </c>
      <c r="F64" s="132">
        <f t="shared" si="8"/>
        <v>0.26170848924934453</v>
      </c>
      <c r="G64" s="215">
        <f t="shared" si="9"/>
        <v>0.21516375857404718</v>
      </c>
      <c r="H64" s="123"/>
    </row>
    <row r="65" spans="1:8" ht="15" customHeight="1" x14ac:dyDescent="0.25">
      <c r="A65" s="130"/>
      <c r="B65" s="131">
        <f>DATE(2020,3,1)</f>
        <v>43891</v>
      </c>
      <c r="C65" s="204">
        <v>7453124</v>
      </c>
      <c r="D65" s="204">
        <v>1085587.5</v>
      </c>
      <c r="E65" s="204">
        <v>5092130.55</v>
      </c>
      <c r="F65" s="132">
        <f t="shared" si="8"/>
        <v>-0.78681074859716627</v>
      </c>
      <c r="G65" s="215">
        <f t="shared" si="9"/>
        <v>0.14565536545480795</v>
      </c>
      <c r="H65" s="123"/>
    </row>
    <row r="66" spans="1:8" ht="15.75" thickBot="1" x14ac:dyDescent="0.25">
      <c r="A66" s="133"/>
      <c r="B66" s="131"/>
      <c r="C66" s="204"/>
      <c r="D66" s="204"/>
      <c r="E66" s="204"/>
      <c r="F66" s="132"/>
      <c r="G66" s="215"/>
      <c r="H66" s="123"/>
    </row>
    <row r="67" spans="1:8" ht="17.25" customHeight="1" thickTop="1" thickBot="1" x14ac:dyDescent="0.3">
      <c r="A67" s="141" t="s">
        <v>14</v>
      </c>
      <c r="B67" s="142"/>
      <c r="C67" s="207">
        <f>SUM(C57:C66)</f>
        <v>130463527.5</v>
      </c>
      <c r="D67" s="261">
        <f>SUM(D57:D66)</f>
        <v>25850964</v>
      </c>
      <c r="E67" s="206">
        <f>SUM(E57:E66)</f>
        <v>31410695.550000001</v>
      </c>
      <c r="F67" s="268">
        <f>(+D67-E67)/E67</f>
        <v>-0.17700122371215687</v>
      </c>
      <c r="G67" s="267">
        <f>D67/C67</f>
        <v>0.1981470568469797</v>
      </c>
      <c r="H67" s="123"/>
    </row>
    <row r="68" spans="1:8" ht="15.75" customHeight="1" thickTop="1" x14ac:dyDescent="0.25">
      <c r="A68" s="130"/>
      <c r="B68" s="134"/>
      <c r="C68" s="204"/>
      <c r="D68" s="204"/>
      <c r="E68" s="204"/>
      <c r="F68" s="132"/>
      <c r="G68" s="218"/>
      <c r="H68" s="123"/>
    </row>
    <row r="69" spans="1:8" ht="15.75" x14ac:dyDescent="0.25">
      <c r="A69" s="130" t="s">
        <v>66</v>
      </c>
      <c r="B69" s="131">
        <f>DATE(2019,7,1)</f>
        <v>43647</v>
      </c>
      <c r="C69" s="204">
        <v>2326207</v>
      </c>
      <c r="D69" s="204">
        <v>550912.5</v>
      </c>
      <c r="E69" s="204">
        <v>682875.5</v>
      </c>
      <c r="F69" s="132">
        <f t="shared" ref="F69:F77" si="10">(+D69-E69)/E69</f>
        <v>-0.19324606022620522</v>
      </c>
      <c r="G69" s="215">
        <f t="shared" ref="G69:G77" si="11">D69/C69</f>
        <v>0.23682866572063449</v>
      </c>
      <c r="H69" s="123"/>
    </row>
    <row r="70" spans="1:8" ht="15.75" x14ac:dyDescent="0.25">
      <c r="A70" s="130"/>
      <c r="B70" s="131">
        <f>DATE(2019,8,1)</f>
        <v>43678</v>
      </c>
      <c r="C70" s="204">
        <v>2456667</v>
      </c>
      <c r="D70" s="204">
        <v>544892.5</v>
      </c>
      <c r="E70" s="204">
        <v>651283.5</v>
      </c>
      <c r="F70" s="132">
        <f t="shared" si="10"/>
        <v>-0.16335589647212007</v>
      </c>
      <c r="G70" s="215">
        <f t="shared" si="11"/>
        <v>0.22180153028473129</v>
      </c>
      <c r="H70" s="123"/>
    </row>
    <row r="71" spans="1:8" ht="15.75" x14ac:dyDescent="0.25">
      <c r="A71" s="130"/>
      <c r="B71" s="131">
        <f>DATE(2019,9,1)</f>
        <v>43709</v>
      </c>
      <c r="C71" s="204">
        <v>2398271</v>
      </c>
      <c r="D71" s="204">
        <v>648210.4</v>
      </c>
      <c r="E71" s="204">
        <v>584999.5</v>
      </c>
      <c r="F71" s="132">
        <f t="shared" si="10"/>
        <v>0.10805291286573754</v>
      </c>
      <c r="G71" s="215">
        <f t="shared" si="11"/>
        <v>0.27028238259979792</v>
      </c>
      <c r="H71" s="123"/>
    </row>
    <row r="72" spans="1:8" ht="15.75" x14ac:dyDescent="0.25">
      <c r="A72" s="130"/>
      <c r="B72" s="131">
        <f>DATE(2019,10,1)</f>
        <v>43739</v>
      </c>
      <c r="C72" s="204">
        <v>2701389</v>
      </c>
      <c r="D72" s="204">
        <v>633881.5</v>
      </c>
      <c r="E72" s="204">
        <v>681963.5</v>
      </c>
      <c r="F72" s="132">
        <f t="shared" si="10"/>
        <v>-7.0505239649922613E-2</v>
      </c>
      <c r="G72" s="215">
        <f t="shared" si="11"/>
        <v>0.23465021142826895</v>
      </c>
      <c r="H72" s="123"/>
    </row>
    <row r="73" spans="1:8" ht="15.75" x14ac:dyDescent="0.25">
      <c r="A73" s="130"/>
      <c r="B73" s="131">
        <f>DATE(2019,11,1)</f>
        <v>43770</v>
      </c>
      <c r="C73" s="204">
        <v>2978379</v>
      </c>
      <c r="D73" s="204">
        <v>745956</v>
      </c>
      <c r="E73" s="204">
        <v>534840</v>
      </c>
      <c r="F73" s="132">
        <f t="shared" si="10"/>
        <v>0.3947273951088176</v>
      </c>
      <c r="G73" s="215">
        <f t="shared" si="11"/>
        <v>0.250457043915499</v>
      </c>
      <c r="H73" s="123"/>
    </row>
    <row r="74" spans="1:8" ht="15.75" x14ac:dyDescent="0.25">
      <c r="A74" s="130"/>
      <c r="B74" s="131">
        <f>DATE(2019,12,1)</f>
        <v>43800</v>
      </c>
      <c r="C74" s="204">
        <v>3201903</v>
      </c>
      <c r="D74" s="204">
        <v>825802.5</v>
      </c>
      <c r="E74" s="204">
        <v>680547.57</v>
      </c>
      <c r="F74" s="132">
        <f t="shared" si="10"/>
        <v>0.21343831996931539</v>
      </c>
      <c r="G74" s="215">
        <f t="shared" si="11"/>
        <v>0.25790990545310088</v>
      </c>
      <c r="H74" s="123"/>
    </row>
    <row r="75" spans="1:8" ht="15.75" x14ac:dyDescent="0.25">
      <c r="A75" s="130"/>
      <c r="B75" s="131">
        <f>DATE(2020,1,1)</f>
        <v>43831</v>
      </c>
      <c r="C75" s="204">
        <v>2935436</v>
      </c>
      <c r="D75" s="204">
        <v>839366</v>
      </c>
      <c r="E75" s="204">
        <v>696823.5</v>
      </c>
      <c r="F75" s="132">
        <f t="shared" si="10"/>
        <v>0.20456040876922205</v>
      </c>
      <c r="G75" s="215">
        <f t="shared" si="11"/>
        <v>0.28594253119468455</v>
      </c>
      <c r="H75" s="123"/>
    </row>
    <row r="76" spans="1:8" ht="15.75" x14ac:dyDescent="0.25">
      <c r="A76" s="130"/>
      <c r="B76" s="131">
        <f>DATE(2020,2,1)</f>
        <v>43862</v>
      </c>
      <c r="C76" s="204">
        <v>2979862</v>
      </c>
      <c r="D76" s="204">
        <v>859354</v>
      </c>
      <c r="E76" s="204">
        <v>505834.5</v>
      </c>
      <c r="F76" s="132">
        <f t="shared" si="10"/>
        <v>0.69888372580359781</v>
      </c>
      <c r="G76" s="215">
        <f t="shared" si="11"/>
        <v>0.28838718034593547</v>
      </c>
      <c r="H76" s="123"/>
    </row>
    <row r="77" spans="1:8" ht="15.75" x14ac:dyDescent="0.25">
      <c r="A77" s="130"/>
      <c r="B77" s="131">
        <f>DATE(2020,3,1)</f>
        <v>43891</v>
      </c>
      <c r="C77" s="204">
        <v>1418164</v>
      </c>
      <c r="D77" s="204">
        <v>352677.5</v>
      </c>
      <c r="E77" s="204">
        <v>610444.5</v>
      </c>
      <c r="F77" s="132">
        <f t="shared" si="10"/>
        <v>-0.42226115560055011</v>
      </c>
      <c r="G77" s="215">
        <f t="shared" si="11"/>
        <v>0.24868597708022486</v>
      </c>
      <c r="H77" s="123"/>
    </row>
    <row r="78" spans="1:8" ht="15.75" customHeight="1" thickBot="1" x14ac:dyDescent="0.3">
      <c r="A78" s="130"/>
      <c r="B78" s="131"/>
      <c r="C78" s="204"/>
      <c r="D78" s="204"/>
      <c r="E78" s="204"/>
      <c r="F78" s="132"/>
      <c r="G78" s="215"/>
      <c r="H78" s="123"/>
    </row>
    <row r="79" spans="1:8" ht="17.25" thickTop="1" thickBot="1" x14ac:dyDescent="0.3">
      <c r="A79" s="141" t="s">
        <v>14</v>
      </c>
      <c r="B79" s="142"/>
      <c r="C79" s="207">
        <f>SUM(C69:C78)</f>
        <v>23396278</v>
      </c>
      <c r="D79" s="261">
        <f>SUM(D69:D78)</f>
        <v>6001052.9000000004</v>
      </c>
      <c r="E79" s="207">
        <f>SUM(E69:E78)</f>
        <v>5629612.0700000003</v>
      </c>
      <c r="F79" s="268">
        <f>(+D79-E79)/E79</f>
        <v>6.5979826919050938E-2</v>
      </c>
      <c r="G79" s="267">
        <f>D79/C79</f>
        <v>0.2564960503546761</v>
      </c>
      <c r="H79" s="123"/>
    </row>
    <row r="80" spans="1:8" ht="15.75" customHeight="1" thickTop="1" x14ac:dyDescent="0.25">
      <c r="A80" s="130"/>
      <c r="B80" s="134"/>
      <c r="C80" s="204"/>
      <c r="D80" s="204"/>
      <c r="E80" s="204"/>
      <c r="F80" s="132"/>
      <c r="G80" s="218"/>
      <c r="H80" s="123"/>
    </row>
    <row r="81" spans="1:8" ht="15.75" x14ac:dyDescent="0.25">
      <c r="A81" s="130" t="s">
        <v>17</v>
      </c>
      <c r="B81" s="131">
        <f>DATE(2019,7,1)</f>
        <v>43647</v>
      </c>
      <c r="C81" s="204">
        <v>1428358</v>
      </c>
      <c r="D81" s="204">
        <v>255421</v>
      </c>
      <c r="E81" s="204">
        <v>395162.5</v>
      </c>
      <c r="F81" s="132">
        <f t="shared" ref="F81:F89" si="12">(+D81-E81)/E81</f>
        <v>-0.35363046847815771</v>
      </c>
      <c r="G81" s="215">
        <f t="shared" ref="G81:G89" si="13">D81/C81</f>
        <v>0.17882141591953837</v>
      </c>
      <c r="H81" s="123"/>
    </row>
    <row r="82" spans="1:8" ht="15.75" x14ac:dyDescent="0.25">
      <c r="A82" s="130"/>
      <c r="B82" s="131">
        <f>DATE(2019,8,1)</f>
        <v>43678</v>
      </c>
      <c r="C82" s="204">
        <v>1645771</v>
      </c>
      <c r="D82" s="204">
        <v>366605.5</v>
      </c>
      <c r="E82" s="204">
        <v>271146</v>
      </c>
      <c r="F82" s="132">
        <f t="shared" si="12"/>
        <v>0.35205940710908512</v>
      </c>
      <c r="G82" s="215">
        <f t="shared" si="13"/>
        <v>0.22275608210376777</v>
      </c>
      <c r="H82" s="123"/>
    </row>
    <row r="83" spans="1:8" ht="15.75" x14ac:dyDescent="0.25">
      <c r="A83" s="130"/>
      <c r="B83" s="131">
        <f>DATE(2019,9,1)</f>
        <v>43709</v>
      </c>
      <c r="C83" s="204">
        <v>1422549</v>
      </c>
      <c r="D83" s="204">
        <v>323382</v>
      </c>
      <c r="E83" s="204">
        <v>347747</v>
      </c>
      <c r="F83" s="132">
        <f t="shared" si="12"/>
        <v>-7.0065306098974253E-2</v>
      </c>
      <c r="G83" s="215">
        <f t="shared" si="13"/>
        <v>0.22732573710993434</v>
      </c>
      <c r="H83" s="123"/>
    </row>
    <row r="84" spans="1:8" ht="15.75" x14ac:dyDescent="0.25">
      <c r="A84" s="130"/>
      <c r="B84" s="131">
        <f>DATE(2019,10,1)</f>
        <v>43739</v>
      </c>
      <c r="C84" s="204">
        <v>1396946</v>
      </c>
      <c r="D84" s="204">
        <v>301934</v>
      </c>
      <c r="E84" s="204">
        <v>240203.5</v>
      </c>
      <c r="F84" s="132">
        <f t="shared" si="12"/>
        <v>0.25699250843555571</v>
      </c>
      <c r="G84" s="215">
        <f t="shared" si="13"/>
        <v>0.21613863384840931</v>
      </c>
      <c r="H84" s="123"/>
    </row>
    <row r="85" spans="1:8" ht="15.75" x14ac:dyDescent="0.25">
      <c r="A85" s="130"/>
      <c r="B85" s="131">
        <f>DATE(2019,11,1)</f>
        <v>43770</v>
      </c>
      <c r="C85" s="204">
        <v>1457385</v>
      </c>
      <c r="D85" s="204">
        <v>378106</v>
      </c>
      <c r="E85" s="204">
        <v>171704.5</v>
      </c>
      <c r="F85" s="132">
        <f t="shared" si="12"/>
        <v>1.2020739118660257</v>
      </c>
      <c r="G85" s="215">
        <f t="shared" si="13"/>
        <v>0.25944139674828548</v>
      </c>
      <c r="H85" s="123"/>
    </row>
    <row r="86" spans="1:8" ht="15.75" x14ac:dyDescent="0.25">
      <c r="A86" s="130"/>
      <c r="B86" s="131">
        <f>DATE(2019,12,1)</f>
        <v>43800</v>
      </c>
      <c r="C86" s="204">
        <v>1230603</v>
      </c>
      <c r="D86" s="204">
        <v>350445.5</v>
      </c>
      <c r="E86" s="204">
        <v>334648.5</v>
      </c>
      <c r="F86" s="132">
        <f t="shared" si="12"/>
        <v>4.7204753644495639E-2</v>
      </c>
      <c r="G86" s="215">
        <f t="shared" si="13"/>
        <v>0.28477543123168075</v>
      </c>
      <c r="H86" s="123"/>
    </row>
    <row r="87" spans="1:8" ht="15.75" x14ac:dyDescent="0.25">
      <c r="A87" s="130"/>
      <c r="B87" s="131">
        <f>DATE(2020,1,1)</f>
        <v>43831</v>
      </c>
      <c r="C87" s="204">
        <v>1325748</v>
      </c>
      <c r="D87" s="204">
        <v>284016.5</v>
      </c>
      <c r="E87" s="204">
        <v>312324</v>
      </c>
      <c r="F87" s="132">
        <f t="shared" si="12"/>
        <v>-9.0635045657714422E-2</v>
      </c>
      <c r="G87" s="215">
        <f t="shared" si="13"/>
        <v>0.21423113593231896</v>
      </c>
      <c r="H87" s="123"/>
    </row>
    <row r="88" spans="1:8" ht="15.75" x14ac:dyDescent="0.25">
      <c r="A88" s="130"/>
      <c r="B88" s="131">
        <f>DATE(2020,2,1)</f>
        <v>43862</v>
      </c>
      <c r="C88" s="204">
        <v>1430992</v>
      </c>
      <c r="D88" s="204">
        <v>306224.5</v>
      </c>
      <c r="E88" s="204">
        <v>300723</v>
      </c>
      <c r="F88" s="132">
        <f t="shared" si="12"/>
        <v>1.8294244204799765E-2</v>
      </c>
      <c r="G88" s="215">
        <f t="shared" si="13"/>
        <v>0.21399455762156602</v>
      </c>
      <c r="H88" s="123"/>
    </row>
    <row r="89" spans="1:8" ht="15.75" x14ac:dyDescent="0.25">
      <c r="A89" s="130"/>
      <c r="B89" s="131">
        <f>DATE(2020,3,1)</f>
        <v>43891</v>
      </c>
      <c r="C89" s="204">
        <v>893773</v>
      </c>
      <c r="D89" s="204">
        <v>205020.5</v>
      </c>
      <c r="E89" s="204">
        <v>350610.26</v>
      </c>
      <c r="F89" s="132">
        <f t="shared" si="12"/>
        <v>-0.41524671867845514</v>
      </c>
      <c r="G89" s="215">
        <f t="shared" si="13"/>
        <v>0.22938766331048263</v>
      </c>
      <c r="H89" s="123"/>
    </row>
    <row r="90" spans="1:8" ht="15.75" customHeight="1" thickBot="1" x14ac:dyDescent="0.3">
      <c r="A90" s="130"/>
      <c r="B90" s="131"/>
      <c r="C90" s="204"/>
      <c r="D90" s="204"/>
      <c r="E90" s="204"/>
      <c r="F90" s="132"/>
      <c r="G90" s="215"/>
      <c r="H90" s="123"/>
    </row>
    <row r="91" spans="1:8" ht="17.25" thickTop="1" thickBot="1" x14ac:dyDescent="0.3">
      <c r="A91" s="141" t="s">
        <v>14</v>
      </c>
      <c r="B91" s="142"/>
      <c r="C91" s="207">
        <f>SUM(C81:C90)</f>
        <v>12232125</v>
      </c>
      <c r="D91" s="261">
        <f>SUM(D81:D90)</f>
        <v>2771155.5</v>
      </c>
      <c r="E91" s="207">
        <f>SUM(E81:E90)</f>
        <v>2724269.26</v>
      </c>
      <c r="F91" s="269">
        <f>(+D91-E91)/E91</f>
        <v>1.7210574846041549E-2</v>
      </c>
      <c r="G91" s="267">
        <f>D91/C91</f>
        <v>0.22654734970416016</v>
      </c>
      <c r="H91" s="123"/>
    </row>
    <row r="92" spans="1:8" ht="15.75" customHeight="1" thickTop="1" x14ac:dyDescent="0.25">
      <c r="A92" s="130"/>
      <c r="B92" s="139"/>
      <c r="C92" s="205"/>
      <c r="D92" s="205"/>
      <c r="E92" s="205"/>
      <c r="F92" s="140"/>
      <c r="G92" s="216"/>
      <c r="H92" s="123"/>
    </row>
    <row r="93" spans="1:8" ht="15.75" x14ac:dyDescent="0.25">
      <c r="A93" s="130" t="s">
        <v>55</v>
      </c>
      <c r="B93" s="131">
        <f>DATE(2019,7,1)</f>
        <v>43647</v>
      </c>
      <c r="C93" s="204">
        <v>11352765</v>
      </c>
      <c r="D93" s="204">
        <v>1702644.86</v>
      </c>
      <c r="E93" s="204">
        <v>2057880.1</v>
      </c>
      <c r="F93" s="132">
        <f t="shared" ref="F93:F101" si="14">(+D93-E93)/E93</f>
        <v>-0.17262193263834952</v>
      </c>
      <c r="G93" s="215">
        <f t="shared" ref="G93:G101" si="15">D93/C93</f>
        <v>0.14997622693678589</v>
      </c>
      <c r="H93" s="123"/>
    </row>
    <row r="94" spans="1:8" ht="15.75" x14ac:dyDescent="0.25">
      <c r="A94" s="130"/>
      <c r="B94" s="131">
        <f>DATE(2019,8,1)</f>
        <v>43678</v>
      </c>
      <c r="C94" s="204">
        <v>11116688</v>
      </c>
      <c r="D94" s="204">
        <v>2308275.88</v>
      </c>
      <c r="E94" s="204">
        <v>2105874.34</v>
      </c>
      <c r="F94" s="132">
        <f t="shared" si="14"/>
        <v>9.6112828840490105E-2</v>
      </c>
      <c r="G94" s="215">
        <f t="shared" si="15"/>
        <v>0.20764061022491589</v>
      </c>
      <c r="H94" s="123"/>
    </row>
    <row r="95" spans="1:8" ht="15.75" x14ac:dyDescent="0.25">
      <c r="A95" s="130"/>
      <c r="B95" s="131">
        <f>DATE(2019,9,1)</f>
        <v>43709</v>
      </c>
      <c r="C95" s="204">
        <v>10317715</v>
      </c>
      <c r="D95" s="204">
        <v>1996051.56</v>
      </c>
      <c r="E95" s="204">
        <v>2555133.64</v>
      </c>
      <c r="F95" s="132">
        <f t="shared" si="14"/>
        <v>-0.21880737322216934</v>
      </c>
      <c r="G95" s="215">
        <f t="shared" si="15"/>
        <v>0.19345868343911418</v>
      </c>
      <c r="H95" s="123"/>
    </row>
    <row r="96" spans="1:8" ht="15.75" x14ac:dyDescent="0.25">
      <c r="A96" s="130"/>
      <c r="B96" s="131">
        <f>DATE(2019,10,1)</f>
        <v>43739</v>
      </c>
      <c r="C96" s="204">
        <v>10237727</v>
      </c>
      <c r="D96" s="204">
        <v>2026195.69</v>
      </c>
      <c r="E96" s="204">
        <v>2662687.6</v>
      </c>
      <c r="F96" s="132">
        <f t="shared" si="14"/>
        <v>-0.23904115150421706</v>
      </c>
      <c r="G96" s="215">
        <f t="shared" si="15"/>
        <v>0.19791460448203005</v>
      </c>
      <c r="H96" s="123"/>
    </row>
    <row r="97" spans="1:8" ht="15.75" x14ac:dyDescent="0.25">
      <c r="A97" s="130"/>
      <c r="B97" s="131">
        <f>DATE(2019,11,1)</f>
        <v>43770</v>
      </c>
      <c r="C97" s="204">
        <v>9911473</v>
      </c>
      <c r="D97" s="204">
        <v>1903112.96</v>
      </c>
      <c r="E97" s="204">
        <v>2453062.8199999998</v>
      </c>
      <c r="F97" s="132">
        <f t="shared" si="14"/>
        <v>-0.22418906499915886</v>
      </c>
      <c r="G97" s="215">
        <f t="shared" si="15"/>
        <v>0.1920111127780906</v>
      </c>
      <c r="H97" s="123"/>
    </row>
    <row r="98" spans="1:8" ht="15.75" x14ac:dyDescent="0.25">
      <c r="A98" s="130"/>
      <c r="B98" s="131">
        <f>DATE(2019,12,1)</f>
        <v>43800</v>
      </c>
      <c r="C98" s="204">
        <v>10227494</v>
      </c>
      <c r="D98" s="204">
        <v>1980334.65</v>
      </c>
      <c r="E98" s="204">
        <v>2360180.63</v>
      </c>
      <c r="F98" s="132">
        <f t="shared" si="14"/>
        <v>-0.16093936844147391</v>
      </c>
      <c r="G98" s="215">
        <f t="shared" si="15"/>
        <v>0.19362853207247052</v>
      </c>
      <c r="H98" s="123"/>
    </row>
    <row r="99" spans="1:8" ht="15.75" x14ac:dyDescent="0.25">
      <c r="A99" s="130"/>
      <c r="B99" s="131">
        <f>DATE(2020,1,1)</f>
        <v>43831</v>
      </c>
      <c r="C99" s="204">
        <v>9698406</v>
      </c>
      <c r="D99" s="204">
        <v>2178926.1</v>
      </c>
      <c r="E99" s="204">
        <v>2536749.79</v>
      </c>
      <c r="F99" s="132">
        <f t="shared" si="14"/>
        <v>-0.14105596516083674</v>
      </c>
      <c r="G99" s="215">
        <f t="shared" si="15"/>
        <v>0.22466847644860405</v>
      </c>
      <c r="H99" s="123"/>
    </row>
    <row r="100" spans="1:8" ht="15.75" x14ac:dyDescent="0.25">
      <c r="A100" s="130"/>
      <c r="B100" s="131">
        <f>DATE(2020,2,1)</f>
        <v>43862</v>
      </c>
      <c r="C100" s="204">
        <v>10085104</v>
      </c>
      <c r="D100" s="204">
        <v>2379520.27</v>
      </c>
      <c r="E100" s="204">
        <v>1828257.84</v>
      </c>
      <c r="F100" s="132">
        <f t="shared" si="14"/>
        <v>0.30152335077638714</v>
      </c>
      <c r="G100" s="215">
        <f t="shared" si="15"/>
        <v>0.23594404876737018</v>
      </c>
      <c r="H100" s="123"/>
    </row>
    <row r="101" spans="1:8" ht="15.75" x14ac:dyDescent="0.25">
      <c r="A101" s="130"/>
      <c r="B101" s="131">
        <f>DATE(2020,3,1)</f>
        <v>43891</v>
      </c>
      <c r="C101" s="204">
        <v>5084593</v>
      </c>
      <c r="D101" s="204">
        <v>1002834.07</v>
      </c>
      <c r="E101" s="204">
        <v>2606223</v>
      </c>
      <c r="F101" s="132">
        <f t="shared" si="14"/>
        <v>-0.61521555523069216</v>
      </c>
      <c r="G101" s="215">
        <f t="shared" si="15"/>
        <v>0.19722995921207459</v>
      </c>
      <c r="H101" s="123"/>
    </row>
    <row r="102" spans="1:8" ht="15.75" customHeight="1" thickBot="1" x14ac:dyDescent="0.3">
      <c r="A102" s="130"/>
      <c r="B102" s="131"/>
      <c r="C102" s="204"/>
      <c r="D102" s="204"/>
      <c r="E102" s="204"/>
      <c r="F102" s="132"/>
      <c r="G102" s="215"/>
      <c r="H102" s="123"/>
    </row>
    <row r="103" spans="1:8" ht="17.25" thickTop="1" thickBot="1" x14ac:dyDescent="0.3">
      <c r="A103" s="141" t="s">
        <v>14</v>
      </c>
      <c r="B103" s="142"/>
      <c r="C103" s="206">
        <f>SUM(C93:C102)</f>
        <v>88031965</v>
      </c>
      <c r="D103" s="206">
        <f>SUM(D93:D102)</f>
        <v>17477896.039999999</v>
      </c>
      <c r="E103" s="206">
        <f>SUM(E93:E102)</f>
        <v>21166049.759999998</v>
      </c>
      <c r="F103" s="143">
        <f>(+D103-E103)/E103</f>
        <v>-0.17424856134326688</v>
      </c>
      <c r="G103" s="217">
        <f>D103/C103</f>
        <v>0.1985403374785511</v>
      </c>
      <c r="H103" s="123"/>
    </row>
    <row r="104" spans="1:8" ht="15.75" customHeight="1" thickTop="1" x14ac:dyDescent="0.25">
      <c r="A104" s="138"/>
      <c r="B104" s="139"/>
      <c r="C104" s="205"/>
      <c r="D104" s="205"/>
      <c r="E104" s="205"/>
      <c r="F104" s="140"/>
      <c r="G104" s="216"/>
      <c r="H104" s="123"/>
    </row>
    <row r="105" spans="1:8" ht="15.75" x14ac:dyDescent="0.25">
      <c r="A105" s="130" t="s">
        <v>18</v>
      </c>
      <c r="B105" s="131">
        <f>DATE(2019,7,1)</f>
        <v>43647</v>
      </c>
      <c r="C105" s="204">
        <v>12048638</v>
      </c>
      <c r="D105" s="204">
        <v>2126431.5</v>
      </c>
      <c r="E105" s="204">
        <v>2729067.84</v>
      </c>
      <c r="F105" s="132">
        <f t="shared" ref="F105:F113" si="16">(+D105-E105)/E105</f>
        <v>-0.220821311646104</v>
      </c>
      <c r="G105" s="215">
        <f t="shared" ref="G105:G113" si="17">D105/C105</f>
        <v>0.17648729258858969</v>
      </c>
      <c r="H105" s="123"/>
    </row>
    <row r="106" spans="1:8" ht="15.75" x14ac:dyDescent="0.25">
      <c r="A106" s="130"/>
      <c r="B106" s="131">
        <f>DATE(2019,8,1)</f>
        <v>43678</v>
      </c>
      <c r="C106" s="204">
        <v>12757078</v>
      </c>
      <c r="D106" s="204">
        <v>2726871</v>
      </c>
      <c r="E106" s="204">
        <v>2970026</v>
      </c>
      <c r="F106" s="132">
        <f t="shared" si="16"/>
        <v>-8.1869653666331546E-2</v>
      </c>
      <c r="G106" s="215">
        <f t="shared" si="17"/>
        <v>0.21375357272253098</v>
      </c>
      <c r="H106" s="123"/>
    </row>
    <row r="107" spans="1:8" ht="15.75" x14ac:dyDescent="0.25">
      <c r="A107" s="130"/>
      <c r="B107" s="131">
        <f>DATE(2019,9,1)</f>
        <v>43709</v>
      </c>
      <c r="C107" s="204">
        <v>12239206</v>
      </c>
      <c r="D107" s="204">
        <v>2679876</v>
      </c>
      <c r="E107" s="204">
        <v>2637413.5</v>
      </c>
      <c r="F107" s="132">
        <f t="shared" si="16"/>
        <v>1.6100054087081907E-2</v>
      </c>
      <c r="G107" s="215">
        <f t="shared" si="17"/>
        <v>0.21895832131594156</v>
      </c>
      <c r="H107" s="123"/>
    </row>
    <row r="108" spans="1:8" ht="15.75" x14ac:dyDescent="0.25">
      <c r="A108" s="130"/>
      <c r="B108" s="131">
        <f>DATE(2019,10,1)</f>
        <v>43739</v>
      </c>
      <c r="C108" s="204">
        <v>12190070</v>
      </c>
      <c r="D108" s="204">
        <v>3088329</v>
      </c>
      <c r="E108" s="204">
        <v>1894492</v>
      </c>
      <c r="F108" s="132">
        <f t="shared" si="16"/>
        <v>0.6301620698319127</v>
      </c>
      <c r="G108" s="215">
        <f t="shared" si="17"/>
        <v>0.25334792991344596</v>
      </c>
      <c r="H108" s="123"/>
    </row>
    <row r="109" spans="1:8" ht="15.75" x14ac:dyDescent="0.25">
      <c r="A109" s="130"/>
      <c r="B109" s="131">
        <f>DATE(2019,11,1)</f>
        <v>43770</v>
      </c>
      <c r="C109" s="204">
        <v>12234070</v>
      </c>
      <c r="D109" s="204">
        <v>2810591.5</v>
      </c>
      <c r="E109" s="204">
        <v>2412367</v>
      </c>
      <c r="F109" s="132">
        <f t="shared" si="16"/>
        <v>0.16507625083579738</v>
      </c>
      <c r="G109" s="215">
        <f t="shared" si="17"/>
        <v>0.2297347898123846</v>
      </c>
      <c r="H109" s="123"/>
    </row>
    <row r="110" spans="1:8" ht="15.75" x14ac:dyDescent="0.25">
      <c r="A110" s="130"/>
      <c r="B110" s="131">
        <f>DATE(2019,12,1)</f>
        <v>43800</v>
      </c>
      <c r="C110" s="204">
        <v>11492519.5</v>
      </c>
      <c r="D110" s="204">
        <v>1704640.5</v>
      </c>
      <c r="E110" s="204">
        <v>2615452.5</v>
      </c>
      <c r="F110" s="132">
        <f t="shared" si="16"/>
        <v>-0.34824260811465702</v>
      </c>
      <c r="G110" s="215">
        <f t="shared" si="17"/>
        <v>0.14832609159375365</v>
      </c>
      <c r="H110" s="123"/>
    </row>
    <row r="111" spans="1:8" ht="15.75" x14ac:dyDescent="0.25">
      <c r="A111" s="130"/>
      <c r="B111" s="131">
        <f>DATE(2020,1,1)</f>
        <v>43831</v>
      </c>
      <c r="C111" s="204">
        <v>11073267.5</v>
      </c>
      <c r="D111" s="204">
        <v>2631202</v>
      </c>
      <c r="E111" s="204">
        <v>2027761</v>
      </c>
      <c r="F111" s="132">
        <f t="shared" si="16"/>
        <v>0.2975898047156445</v>
      </c>
      <c r="G111" s="215">
        <f t="shared" si="17"/>
        <v>0.23761748734057042</v>
      </c>
      <c r="H111" s="123"/>
    </row>
    <row r="112" spans="1:8" ht="15.75" x14ac:dyDescent="0.25">
      <c r="A112" s="130"/>
      <c r="B112" s="131">
        <f>DATE(2020,2,1)</f>
        <v>43862</v>
      </c>
      <c r="C112" s="204">
        <v>12696442</v>
      </c>
      <c r="D112" s="204">
        <v>2680732</v>
      </c>
      <c r="E112" s="204">
        <v>2349146</v>
      </c>
      <c r="F112" s="132">
        <f t="shared" si="16"/>
        <v>0.1411517206678512</v>
      </c>
      <c r="G112" s="215">
        <f t="shared" si="17"/>
        <v>0.21114041240845269</v>
      </c>
      <c r="H112" s="123"/>
    </row>
    <row r="113" spans="1:8" ht="15.75" x14ac:dyDescent="0.25">
      <c r="A113" s="130"/>
      <c r="B113" s="131">
        <f>DATE(2020,3,1)</f>
        <v>43891</v>
      </c>
      <c r="C113" s="204">
        <v>6044720</v>
      </c>
      <c r="D113" s="204">
        <v>1365411.5</v>
      </c>
      <c r="E113" s="204">
        <v>2873476</v>
      </c>
      <c r="F113" s="132">
        <f t="shared" si="16"/>
        <v>-0.52482237540873844</v>
      </c>
      <c r="G113" s="215">
        <f t="shared" si="17"/>
        <v>0.2258849872285234</v>
      </c>
      <c r="H113" s="123"/>
    </row>
    <row r="114" spans="1:8" ht="15.75" customHeight="1" thickBot="1" x14ac:dyDescent="0.3">
      <c r="A114" s="130"/>
      <c r="B114" s="131"/>
      <c r="C114" s="204"/>
      <c r="D114" s="204"/>
      <c r="E114" s="204"/>
      <c r="F114" s="132"/>
      <c r="G114" s="215"/>
      <c r="H114" s="123"/>
    </row>
    <row r="115" spans="1:8" ht="17.25" thickTop="1" thickBot="1" x14ac:dyDescent="0.3">
      <c r="A115" s="141" t="s">
        <v>14</v>
      </c>
      <c r="B115" s="142"/>
      <c r="C115" s="206">
        <f>SUM(C105:C114)</f>
        <v>102776011</v>
      </c>
      <c r="D115" s="206">
        <f>SUM(D105:D114)</f>
        <v>21814085</v>
      </c>
      <c r="E115" s="206">
        <f>SUM(E105:E114)</f>
        <v>22509201.84</v>
      </c>
      <c r="F115" s="143">
        <f>(+D115-E115)/E115</f>
        <v>-3.0881452169696295E-2</v>
      </c>
      <c r="G115" s="217">
        <f>D115/C115</f>
        <v>0.21224879996558729</v>
      </c>
      <c r="H115" s="123"/>
    </row>
    <row r="116" spans="1:8" ht="15.75" customHeight="1" thickTop="1" x14ac:dyDescent="0.25">
      <c r="A116" s="138"/>
      <c r="B116" s="139"/>
      <c r="C116" s="205"/>
      <c r="D116" s="205"/>
      <c r="E116" s="205"/>
      <c r="F116" s="140"/>
      <c r="G116" s="216"/>
      <c r="H116" s="123"/>
    </row>
    <row r="117" spans="1:8" ht="15.75" x14ac:dyDescent="0.25">
      <c r="A117" s="130" t="s">
        <v>58</v>
      </c>
      <c r="B117" s="131">
        <f>DATE(2019,7,1)</f>
        <v>43647</v>
      </c>
      <c r="C117" s="204">
        <v>11570649</v>
      </c>
      <c r="D117" s="204">
        <v>1977732.9</v>
      </c>
      <c r="E117" s="204">
        <v>2887936.73</v>
      </c>
      <c r="F117" s="132">
        <f t="shared" ref="F117:F125" si="18">(+D117-E117)/E117</f>
        <v>-0.31517443597180195</v>
      </c>
      <c r="G117" s="215">
        <f t="shared" ref="G117:G125" si="19">D117/C117</f>
        <v>0.17092670428426271</v>
      </c>
      <c r="H117" s="123"/>
    </row>
    <row r="118" spans="1:8" ht="15.75" x14ac:dyDescent="0.25">
      <c r="A118" s="130"/>
      <c r="B118" s="131">
        <f>DATE(2019,8,1)</f>
        <v>43678</v>
      </c>
      <c r="C118" s="204">
        <v>12902308</v>
      </c>
      <c r="D118" s="204">
        <v>2649402.5</v>
      </c>
      <c r="E118" s="204">
        <v>2450226.84</v>
      </c>
      <c r="F118" s="132">
        <f t="shared" si="18"/>
        <v>8.1288661420425942E-2</v>
      </c>
      <c r="G118" s="215">
        <f t="shared" si="19"/>
        <v>0.20534329981891611</v>
      </c>
      <c r="H118" s="123"/>
    </row>
    <row r="119" spans="1:8" ht="15.75" x14ac:dyDescent="0.25">
      <c r="A119" s="130"/>
      <c r="B119" s="131">
        <f>DATE(2019,9,1)</f>
        <v>43709</v>
      </c>
      <c r="C119" s="204">
        <v>12612498</v>
      </c>
      <c r="D119" s="204">
        <v>2515306.23</v>
      </c>
      <c r="E119" s="204">
        <v>1932757.4</v>
      </c>
      <c r="F119" s="132">
        <f t="shared" si="18"/>
        <v>0.30140814879301464</v>
      </c>
      <c r="G119" s="215">
        <f t="shared" si="19"/>
        <v>0.19942966333869785</v>
      </c>
      <c r="H119" s="123"/>
    </row>
    <row r="120" spans="1:8" ht="15.75" x14ac:dyDescent="0.25">
      <c r="A120" s="130"/>
      <c r="B120" s="131">
        <f>DATE(2019,10,1)</f>
        <v>43739</v>
      </c>
      <c r="C120" s="204">
        <v>13262208</v>
      </c>
      <c r="D120" s="204">
        <v>2541006.48</v>
      </c>
      <c r="E120" s="204">
        <v>1108774.5</v>
      </c>
      <c r="F120" s="132">
        <f t="shared" si="18"/>
        <v>1.291725215542024</v>
      </c>
      <c r="G120" s="215">
        <f t="shared" si="19"/>
        <v>0.19159754393838491</v>
      </c>
      <c r="H120" s="123"/>
    </row>
    <row r="121" spans="1:8" ht="15.75" x14ac:dyDescent="0.25">
      <c r="A121" s="130"/>
      <c r="B121" s="131">
        <f>DATE(2019,11,1)</f>
        <v>43770</v>
      </c>
      <c r="C121" s="204">
        <v>13497353</v>
      </c>
      <c r="D121" s="204">
        <v>2692124.24</v>
      </c>
      <c r="E121" s="204">
        <v>4255264.95</v>
      </c>
      <c r="F121" s="132">
        <f t="shared" si="18"/>
        <v>-0.36734274560271502</v>
      </c>
      <c r="G121" s="215">
        <f t="shared" si="19"/>
        <v>0.19945571846568733</v>
      </c>
      <c r="H121" s="123"/>
    </row>
    <row r="122" spans="1:8" ht="15.75" x14ac:dyDescent="0.25">
      <c r="A122" s="130"/>
      <c r="B122" s="131">
        <f>DATE(2019,12,1)</f>
        <v>43800</v>
      </c>
      <c r="C122" s="204">
        <v>15274965</v>
      </c>
      <c r="D122" s="204">
        <v>2968383.02</v>
      </c>
      <c r="E122" s="204">
        <v>3211966.31</v>
      </c>
      <c r="F122" s="132">
        <f t="shared" si="18"/>
        <v>-7.5836190822312841E-2</v>
      </c>
      <c r="G122" s="215">
        <f t="shared" si="19"/>
        <v>0.19432993921753666</v>
      </c>
      <c r="H122" s="123"/>
    </row>
    <row r="123" spans="1:8" ht="15.75" x14ac:dyDescent="0.25">
      <c r="A123" s="130"/>
      <c r="B123" s="131">
        <f>DATE(2020,1,1)</f>
        <v>43831</v>
      </c>
      <c r="C123" s="204">
        <v>13322495</v>
      </c>
      <c r="D123" s="204">
        <v>2913355</v>
      </c>
      <c r="E123" s="204">
        <v>2271310.91</v>
      </c>
      <c r="F123" s="132">
        <f t="shared" si="18"/>
        <v>0.28267556289772755</v>
      </c>
      <c r="G123" s="215">
        <f t="shared" si="19"/>
        <v>0.21867938400427248</v>
      </c>
      <c r="H123" s="123"/>
    </row>
    <row r="124" spans="1:8" ht="15.75" x14ac:dyDescent="0.25">
      <c r="A124" s="130"/>
      <c r="B124" s="131">
        <f>DATE(2020,2,1)</f>
        <v>43862</v>
      </c>
      <c r="C124" s="204">
        <v>12921112</v>
      </c>
      <c r="D124" s="204">
        <v>2214831.5099999998</v>
      </c>
      <c r="E124" s="204">
        <v>2581578.12</v>
      </c>
      <c r="F124" s="132">
        <f t="shared" si="18"/>
        <v>-0.14206295256329501</v>
      </c>
      <c r="G124" s="215">
        <f t="shared" si="19"/>
        <v>0.17141183436843516</v>
      </c>
      <c r="H124" s="123"/>
    </row>
    <row r="125" spans="1:8" ht="15.75" x14ac:dyDescent="0.25">
      <c r="A125" s="130"/>
      <c r="B125" s="131">
        <f>DATE(2020,3,1)</f>
        <v>43891</v>
      </c>
      <c r="C125" s="204">
        <v>7597827</v>
      </c>
      <c r="D125" s="204">
        <v>1369447.43</v>
      </c>
      <c r="E125" s="204">
        <v>2833063.37</v>
      </c>
      <c r="F125" s="132">
        <f t="shared" si="18"/>
        <v>-0.51661955588377828</v>
      </c>
      <c r="G125" s="215">
        <f t="shared" si="19"/>
        <v>0.18024198629423913</v>
      </c>
      <c r="H125" s="123"/>
    </row>
    <row r="126" spans="1:8" ht="15.75" thickBot="1" x14ac:dyDescent="0.25">
      <c r="A126" s="133"/>
      <c r="B126" s="131"/>
      <c r="C126" s="204"/>
      <c r="D126" s="204"/>
      <c r="E126" s="204"/>
      <c r="F126" s="132"/>
      <c r="G126" s="215"/>
      <c r="H126" s="123"/>
    </row>
    <row r="127" spans="1:8" ht="17.25" thickTop="1" thickBot="1" x14ac:dyDescent="0.3">
      <c r="A127" s="141" t="s">
        <v>14</v>
      </c>
      <c r="B127" s="142"/>
      <c r="C127" s="207">
        <f>SUM(C117:C126)</f>
        <v>112961415</v>
      </c>
      <c r="D127" s="207">
        <f>SUM(D117:D126)</f>
        <v>21841589.310000002</v>
      </c>
      <c r="E127" s="207">
        <f>SUM(E117:E126)</f>
        <v>23532879.130000003</v>
      </c>
      <c r="F127" s="143">
        <f>(+D127-E127)/E127</f>
        <v>-7.186922648338101E-2</v>
      </c>
      <c r="G127" s="267">
        <f>D127/C127</f>
        <v>0.19335442380922727</v>
      </c>
      <c r="H127" s="123"/>
    </row>
    <row r="128" spans="1:8" ht="15.75" customHeight="1" thickTop="1" x14ac:dyDescent="0.25">
      <c r="A128" s="138"/>
      <c r="B128" s="139"/>
      <c r="C128" s="205"/>
      <c r="D128" s="205"/>
      <c r="E128" s="205"/>
      <c r="F128" s="140"/>
      <c r="G128" s="219"/>
      <c r="H128" s="123"/>
    </row>
    <row r="129" spans="1:8" ht="15.75" x14ac:dyDescent="0.25">
      <c r="A129" s="130" t="s">
        <v>59</v>
      </c>
      <c r="B129" s="131">
        <f>DATE(2019,7,1)</f>
        <v>43647</v>
      </c>
      <c r="C129" s="204">
        <v>679874</v>
      </c>
      <c r="D129" s="204">
        <v>135934</v>
      </c>
      <c r="E129" s="204">
        <v>154554.5</v>
      </c>
      <c r="F129" s="132">
        <f t="shared" ref="F129:F137" si="20">(+D129-E129)/E129</f>
        <v>-0.12047853669741095</v>
      </c>
      <c r="G129" s="215">
        <f t="shared" ref="G129:G137" si="21">D129/C129</f>
        <v>0.19993998888029252</v>
      </c>
      <c r="H129" s="123"/>
    </row>
    <row r="130" spans="1:8" ht="15.75" x14ac:dyDescent="0.25">
      <c r="A130" s="130"/>
      <c r="B130" s="131">
        <f>DATE(2019,8,1)</f>
        <v>43678</v>
      </c>
      <c r="C130" s="204">
        <v>642745</v>
      </c>
      <c r="D130" s="204">
        <v>134255.5</v>
      </c>
      <c r="E130" s="204">
        <v>228200</v>
      </c>
      <c r="F130" s="132">
        <f t="shared" si="20"/>
        <v>-0.41167616126205081</v>
      </c>
      <c r="G130" s="215">
        <f t="shared" si="21"/>
        <v>0.20887832655252084</v>
      </c>
      <c r="H130" s="123"/>
    </row>
    <row r="131" spans="1:8" ht="15.75" x14ac:dyDescent="0.25">
      <c r="A131" s="130"/>
      <c r="B131" s="131">
        <f>DATE(2019,9,1)</f>
        <v>43709</v>
      </c>
      <c r="C131" s="204">
        <v>552495</v>
      </c>
      <c r="D131" s="204">
        <v>147952</v>
      </c>
      <c r="E131" s="204">
        <v>133253.5</v>
      </c>
      <c r="F131" s="132">
        <f t="shared" si="20"/>
        <v>0.11030479499600386</v>
      </c>
      <c r="G131" s="215">
        <f t="shared" si="21"/>
        <v>0.26778884876786213</v>
      </c>
      <c r="H131" s="123"/>
    </row>
    <row r="132" spans="1:8" ht="15.75" x14ac:dyDescent="0.25">
      <c r="A132" s="130"/>
      <c r="B132" s="131">
        <f>DATE(2019,10,1)</f>
        <v>43739</v>
      </c>
      <c r="C132" s="204">
        <v>589373</v>
      </c>
      <c r="D132" s="204">
        <v>160874.5</v>
      </c>
      <c r="E132" s="204">
        <v>183569.5</v>
      </c>
      <c r="F132" s="132">
        <f t="shared" si="20"/>
        <v>-0.12363164904845304</v>
      </c>
      <c r="G132" s="215">
        <f t="shared" si="21"/>
        <v>0.27295872053860626</v>
      </c>
      <c r="H132" s="123"/>
    </row>
    <row r="133" spans="1:8" ht="15.75" x14ac:dyDescent="0.25">
      <c r="A133" s="130"/>
      <c r="B133" s="131">
        <f>DATE(2019,11,1)</f>
        <v>43770</v>
      </c>
      <c r="C133" s="204">
        <v>659075</v>
      </c>
      <c r="D133" s="204">
        <v>171123.5</v>
      </c>
      <c r="E133" s="204">
        <v>134566.5</v>
      </c>
      <c r="F133" s="132">
        <f t="shared" si="20"/>
        <v>0.2716649388963821</v>
      </c>
      <c r="G133" s="215">
        <f t="shared" si="21"/>
        <v>0.25964192239123013</v>
      </c>
      <c r="H133" s="123"/>
    </row>
    <row r="134" spans="1:8" ht="15.75" x14ac:dyDescent="0.25">
      <c r="A134" s="130"/>
      <c r="B134" s="131">
        <f>DATE(2019,12,1)</f>
        <v>43800</v>
      </c>
      <c r="C134" s="204">
        <v>700359</v>
      </c>
      <c r="D134" s="204">
        <v>110728</v>
      </c>
      <c r="E134" s="204">
        <v>155643.5</v>
      </c>
      <c r="F134" s="132">
        <f t="shared" si="20"/>
        <v>-0.28857934960342063</v>
      </c>
      <c r="G134" s="215">
        <f t="shared" si="21"/>
        <v>0.15810177351900953</v>
      </c>
      <c r="H134" s="123"/>
    </row>
    <row r="135" spans="1:8" ht="15.75" x14ac:dyDescent="0.25">
      <c r="A135" s="130"/>
      <c r="B135" s="131">
        <f>DATE(2020,1,1)</f>
        <v>43831</v>
      </c>
      <c r="C135" s="204">
        <v>660528</v>
      </c>
      <c r="D135" s="204">
        <v>199122</v>
      </c>
      <c r="E135" s="204">
        <v>147951.5</v>
      </c>
      <c r="F135" s="132">
        <f t="shared" si="20"/>
        <v>0.34585996086555393</v>
      </c>
      <c r="G135" s="215">
        <f t="shared" si="21"/>
        <v>0.30145883293365305</v>
      </c>
      <c r="H135" s="123"/>
    </row>
    <row r="136" spans="1:8" ht="15.75" x14ac:dyDescent="0.25">
      <c r="A136" s="130"/>
      <c r="B136" s="131">
        <f>DATE(2020,2,1)</f>
        <v>43862</v>
      </c>
      <c r="C136" s="204">
        <v>635573</v>
      </c>
      <c r="D136" s="204">
        <v>146026</v>
      </c>
      <c r="E136" s="204">
        <v>187673.5</v>
      </c>
      <c r="F136" s="132">
        <f t="shared" si="20"/>
        <v>-0.22191465497259869</v>
      </c>
      <c r="G136" s="215">
        <f t="shared" si="21"/>
        <v>0.2297548826019985</v>
      </c>
      <c r="H136" s="123"/>
    </row>
    <row r="137" spans="1:8" ht="15.75" x14ac:dyDescent="0.25">
      <c r="A137" s="130"/>
      <c r="B137" s="131">
        <f>DATE(2020,3,1)</f>
        <v>43891</v>
      </c>
      <c r="C137" s="204">
        <v>412929</v>
      </c>
      <c r="D137" s="204">
        <v>106726.5</v>
      </c>
      <c r="E137" s="204">
        <v>187433.5</v>
      </c>
      <c r="F137" s="132">
        <f t="shared" si="20"/>
        <v>-0.43059004927080807</v>
      </c>
      <c r="G137" s="215">
        <f t="shared" si="21"/>
        <v>0.25846210849807111</v>
      </c>
      <c r="H137" s="123"/>
    </row>
    <row r="138" spans="1:8" ht="15.75" thickBot="1" x14ac:dyDescent="0.25">
      <c r="A138" s="133"/>
      <c r="B138" s="134"/>
      <c r="C138" s="204"/>
      <c r="D138" s="204"/>
      <c r="E138" s="204"/>
      <c r="F138" s="132"/>
      <c r="G138" s="215"/>
      <c r="H138" s="123"/>
    </row>
    <row r="139" spans="1:8" ht="17.25" thickTop="1" thickBot="1" x14ac:dyDescent="0.3">
      <c r="A139" s="144" t="s">
        <v>14</v>
      </c>
      <c r="B139" s="145"/>
      <c r="C139" s="207">
        <f>SUM(C129:C138)</f>
        <v>5532951</v>
      </c>
      <c r="D139" s="207">
        <f>SUM(D129:D138)</f>
        <v>1312742</v>
      </c>
      <c r="E139" s="207">
        <f>SUM(E129:E138)</f>
        <v>1512846</v>
      </c>
      <c r="F139" s="143">
        <f>(+D139-E139)/E139</f>
        <v>-0.13226990718156376</v>
      </c>
      <c r="G139" s="217">
        <f>D139/C139</f>
        <v>0.23725892385455791</v>
      </c>
      <c r="H139" s="123"/>
    </row>
    <row r="140" spans="1:8" ht="15.75" customHeight="1" thickTop="1" x14ac:dyDescent="0.25">
      <c r="A140" s="130"/>
      <c r="B140" s="134"/>
      <c r="C140" s="204"/>
      <c r="D140" s="204"/>
      <c r="E140" s="204"/>
      <c r="F140" s="132"/>
      <c r="G140" s="218"/>
      <c r="H140" s="123"/>
    </row>
    <row r="141" spans="1:8" ht="15.75" x14ac:dyDescent="0.25">
      <c r="A141" s="130" t="s">
        <v>40</v>
      </c>
      <c r="B141" s="131">
        <f>DATE(2019,7,1)</f>
        <v>43647</v>
      </c>
      <c r="C141" s="204">
        <v>18492660</v>
      </c>
      <c r="D141" s="204">
        <v>3678875.65</v>
      </c>
      <c r="E141" s="204">
        <v>4013253.36</v>
      </c>
      <c r="F141" s="132">
        <f t="shared" ref="F141:F149" si="22">(+D141-E141)/E141</f>
        <v>-8.3318365427095781E-2</v>
      </c>
      <c r="G141" s="215">
        <f t="shared" ref="G141:G149" si="23">D141/C141</f>
        <v>0.19893707287107426</v>
      </c>
      <c r="H141" s="123"/>
    </row>
    <row r="142" spans="1:8" ht="15.75" x14ac:dyDescent="0.25">
      <c r="A142" s="130"/>
      <c r="B142" s="131">
        <f>DATE(2019,8,1)</f>
        <v>43678</v>
      </c>
      <c r="C142" s="204">
        <v>18036604</v>
      </c>
      <c r="D142" s="204">
        <v>3806318.41</v>
      </c>
      <c r="E142" s="204">
        <v>4154776.6</v>
      </c>
      <c r="F142" s="132">
        <f t="shared" si="22"/>
        <v>-8.3869296366018795E-2</v>
      </c>
      <c r="G142" s="215">
        <f t="shared" si="23"/>
        <v>0.21103298658661021</v>
      </c>
      <c r="H142" s="123"/>
    </row>
    <row r="143" spans="1:8" ht="15.75" x14ac:dyDescent="0.25">
      <c r="A143" s="130"/>
      <c r="B143" s="131">
        <f>DATE(2019,9,1)</f>
        <v>43709</v>
      </c>
      <c r="C143" s="204">
        <v>19700815</v>
      </c>
      <c r="D143" s="204">
        <v>3987675.53</v>
      </c>
      <c r="E143" s="204">
        <v>3317290.2</v>
      </c>
      <c r="F143" s="132">
        <f t="shared" si="22"/>
        <v>0.20208823756209196</v>
      </c>
      <c r="G143" s="215">
        <f t="shared" si="23"/>
        <v>0.20241170377976747</v>
      </c>
      <c r="H143" s="123"/>
    </row>
    <row r="144" spans="1:8" ht="15.75" x14ac:dyDescent="0.25">
      <c r="A144" s="130"/>
      <c r="B144" s="131">
        <f>DATE(2019,10,1)</f>
        <v>43739</v>
      </c>
      <c r="C144" s="204">
        <v>15446007</v>
      </c>
      <c r="D144" s="204">
        <v>3485177.78</v>
      </c>
      <c r="E144" s="204">
        <v>3010473</v>
      </c>
      <c r="F144" s="132">
        <f t="shared" si="22"/>
        <v>0.15768445025084091</v>
      </c>
      <c r="G144" s="215">
        <f t="shared" si="23"/>
        <v>0.22563616473823944</v>
      </c>
      <c r="H144" s="123"/>
    </row>
    <row r="145" spans="1:8" ht="15.75" x14ac:dyDescent="0.25">
      <c r="A145" s="130"/>
      <c r="B145" s="131">
        <f>DATE(2019,11,1)</f>
        <v>43770</v>
      </c>
      <c r="C145" s="204">
        <v>16313312</v>
      </c>
      <c r="D145" s="204">
        <v>3099140.29</v>
      </c>
      <c r="E145" s="204">
        <v>3636412.28</v>
      </c>
      <c r="F145" s="132">
        <f t="shared" si="22"/>
        <v>-0.14774782082740073</v>
      </c>
      <c r="G145" s="215">
        <f t="shared" si="23"/>
        <v>0.18997615505668008</v>
      </c>
      <c r="H145" s="123"/>
    </row>
    <row r="146" spans="1:8" ht="15.75" x14ac:dyDescent="0.25">
      <c r="A146" s="130"/>
      <c r="B146" s="131">
        <f>DATE(2019,12,1)</f>
        <v>43800</v>
      </c>
      <c r="C146" s="204">
        <v>17539177</v>
      </c>
      <c r="D146" s="204">
        <v>4022599</v>
      </c>
      <c r="E146" s="204">
        <v>3158388.6</v>
      </c>
      <c r="F146" s="132">
        <f t="shared" si="22"/>
        <v>0.27362383463516804</v>
      </c>
      <c r="G146" s="215">
        <f t="shared" si="23"/>
        <v>0.22934935886672447</v>
      </c>
      <c r="H146" s="123"/>
    </row>
    <row r="147" spans="1:8" ht="15.75" x14ac:dyDescent="0.25">
      <c r="A147" s="130"/>
      <c r="B147" s="131">
        <f>DATE(2020,1,1)</f>
        <v>43831</v>
      </c>
      <c r="C147" s="204">
        <v>17379592</v>
      </c>
      <c r="D147" s="204">
        <v>3993751.63</v>
      </c>
      <c r="E147" s="204">
        <v>3469211.92</v>
      </c>
      <c r="F147" s="132">
        <f t="shared" si="22"/>
        <v>0.15119852061386899</v>
      </c>
      <c r="G147" s="215">
        <f t="shared" si="23"/>
        <v>0.22979547678679682</v>
      </c>
      <c r="H147" s="123"/>
    </row>
    <row r="148" spans="1:8" ht="15.75" x14ac:dyDescent="0.25">
      <c r="A148" s="130"/>
      <c r="B148" s="131">
        <f>DATE(2020,2,1)</f>
        <v>43862</v>
      </c>
      <c r="C148" s="204">
        <v>18244122</v>
      </c>
      <c r="D148" s="204">
        <v>3495544.26</v>
      </c>
      <c r="E148" s="204">
        <v>3743256.73</v>
      </c>
      <c r="F148" s="132">
        <f t="shared" si="22"/>
        <v>-6.6175656084374479E-2</v>
      </c>
      <c r="G148" s="215">
        <f t="shared" si="23"/>
        <v>0.19159838220770503</v>
      </c>
      <c r="H148" s="123"/>
    </row>
    <row r="149" spans="1:8" ht="15.75" x14ac:dyDescent="0.25">
      <c r="A149" s="130"/>
      <c r="B149" s="131">
        <f>DATE(2020,3,1)</f>
        <v>43891</v>
      </c>
      <c r="C149" s="204">
        <v>11142469</v>
      </c>
      <c r="D149" s="204">
        <v>2620199.4700000002</v>
      </c>
      <c r="E149" s="204">
        <v>3921104.66</v>
      </c>
      <c r="F149" s="132">
        <f t="shared" si="22"/>
        <v>-0.33177007573166889</v>
      </c>
      <c r="G149" s="215">
        <f t="shared" si="23"/>
        <v>0.23515429749008054</v>
      </c>
      <c r="H149" s="123"/>
    </row>
    <row r="150" spans="1:8" ht="15.75" thickBot="1" x14ac:dyDescent="0.25">
      <c r="A150" s="133"/>
      <c r="B150" s="134"/>
      <c r="C150" s="204"/>
      <c r="D150" s="204"/>
      <c r="E150" s="204"/>
      <c r="F150" s="132"/>
      <c r="G150" s="215"/>
      <c r="H150" s="123"/>
    </row>
    <row r="151" spans="1:8" ht="17.25" thickTop="1" thickBot="1" x14ac:dyDescent="0.3">
      <c r="A151" s="141" t="s">
        <v>14</v>
      </c>
      <c r="B151" s="142"/>
      <c r="C151" s="206">
        <f>SUM(C141:C150)</f>
        <v>152294758</v>
      </c>
      <c r="D151" s="207">
        <f>SUM(D141:D150)</f>
        <v>32189282.019999996</v>
      </c>
      <c r="E151" s="206">
        <f>SUM(E141:E150)</f>
        <v>32424167.350000001</v>
      </c>
      <c r="F151" s="143">
        <f>(+D151-E151)/E151</f>
        <v>-7.2441437729010997E-3</v>
      </c>
      <c r="G151" s="217">
        <f>D151/C151</f>
        <v>0.21136172014535126</v>
      </c>
      <c r="H151" s="123"/>
    </row>
    <row r="152" spans="1:8" ht="15.75" customHeight="1" thickTop="1" x14ac:dyDescent="0.25">
      <c r="A152" s="130"/>
      <c r="B152" s="134"/>
      <c r="C152" s="204"/>
      <c r="D152" s="204"/>
      <c r="E152" s="204"/>
      <c r="F152" s="132"/>
      <c r="G152" s="218"/>
      <c r="H152" s="123"/>
    </row>
    <row r="153" spans="1:8" ht="15.75" x14ac:dyDescent="0.25">
      <c r="A153" s="130" t="s">
        <v>64</v>
      </c>
      <c r="B153" s="131">
        <f>DATE(2019,7,1)</f>
        <v>43647</v>
      </c>
      <c r="C153" s="204">
        <v>622244</v>
      </c>
      <c r="D153" s="204">
        <v>102948</v>
      </c>
      <c r="E153" s="204">
        <v>171143.5</v>
      </c>
      <c r="F153" s="132">
        <f t="shared" ref="F153:F161" si="24">(+D153-E153)/E153</f>
        <v>-0.39846970524735092</v>
      </c>
      <c r="G153" s="215">
        <f t="shared" ref="G153:G161" si="25">D153/C153</f>
        <v>0.16544635223481463</v>
      </c>
      <c r="H153" s="123"/>
    </row>
    <row r="154" spans="1:8" ht="15.75" x14ac:dyDescent="0.25">
      <c r="A154" s="130"/>
      <c r="B154" s="131">
        <f>DATE(2019,8,1)</f>
        <v>43678</v>
      </c>
      <c r="C154" s="204">
        <v>680355</v>
      </c>
      <c r="D154" s="204">
        <v>208443.5</v>
      </c>
      <c r="E154" s="204">
        <v>217353.5</v>
      </c>
      <c r="F154" s="132">
        <f t="shared" si="24"/>
        <v>-4.0993128705081816E-2</v>
      </c>
      <c r="G154" s="215">
        <f t="shared" si="25"/>
        <v>0.30637461325337506</v>
      </c>
      <c r="H154" s="123"/>
    </row>
    <row r="155" spans="1:8" ht="15.75" x14ac:dyDescent="0.25">
      <c r="A155" s="130"/>
      <c r="B155" s="131">
        <f>DATE(2019,9,1)</f>
        <v>43709</v>
      </c>
      <c r="C155" s="204">
        <v>591136</v>
      </c>
      <c r="D155" s="204">
        <v>206651.5</v>
      </c>
      <c r="E155" s="204">
        <v>169120</v>
      </c>
      <c r="F155" s="132">
        <f t="shared" si="24"/>
        <v>0.22192230368968779</v>
      </c>
      <c r="G155" s="215">
        <f t="shared" si="25"/>
        <v>0.34958368294267311</v>
      </c>
      <c r="H155" s="123"/>
    </row>
    <row r="156" spans="1:8" ht="15.75" x14ac:dyDescent="0.25">
      <c r="A156" s="130"/>
      <c r="B156" s="131">
        <f>DATE(2019,10,1)</f>
        <v>43739</v>
      </c>
      <c r="C156" s="204">
        <v>514035</v>
      </c>
      <c r="D156" s="204">
        <v>159975</v>
      </c>
      <c r="E156" s="204">
        <v>142213.5</v>
      </c>
      <c r="F156" s="132">
        <f t="shared" si="24"/>
        <v>0.12489320634117014</v>
      </c>
      <c r="G156" s="215">
        <f t="shared" si="25"/>
        <v>0.31121421693075374</v>
      </c>
      <c r="H156" s="123"/>
    </row>
    <row r="157" spans="1:8" ht="15.75" x14ac:dyDescent="0.25">
      <c r="A157" s="130"/>
      <c r="B157" s="131">
        <f>DATE(2019,11,1)</f>
        <v>43770</v>
      </c>
      <c r="C157" s="204">
        <v>627782</v>
      </c>
      <c r="D157" s="204">
        <v>185433.5</v>
      </c>
      <c r="E157" s="204">
        <v>170858.5</v>
      </c>
      <c r="F157" s="132">
        <f t="shared" si="24"/>
        <v>8.5304506360526403E-2</v>
      </c>
      <c r="G157" s="215">
        <f t="shared" si="25"/>
        <v>0.29537880984163295</v>
      </c>
      <c r="H157" s="123"/>
    </row>
    <row r="158" spans="1:8" ht="15.75" x14ac:dyDescent="0.25">
      <c r="A158" s="130"/>
      <c r="B158" s="131">
        <f>DATE(2019,12,1)</f>
        <v>43800</v>
      </c>
      <c r="C158" s="204">
        <v>733505</v>
      </c>
      <c r="D158" s="204">
        <v>198005</v>
      </c>
      <c r="E158" s="204">
        <v>191894</v>
      </c>
      <c r="F158" s="132">
        <f t="shared" si="24"/>
        <v>3.1845706483787928E-2</v>
      </c>
      <c r="G158" s="215">
        <f t="shared" si="25"/>
        <v>0.26994362683280959</v>
      </c>
      <c r="H158" s="123"/>
    </row>
    <row r="159" spans="1:8" ht="15.75" x14ac:dyDescent="0.25">
      <c r="A159" s="130"/>
      <c r="B159" s="131">
        <f>DATE(2020,1,1)</f>
        <v>43831</v>
      </c>
      <c r="C159" s="204">
        <v>714996</v>
      </c>
      <c r="D159" s="204">
        <v>233910.5</v>
      </c>
      <c r="E159" s="204">
        <v>225159.5</v>
      </c>
      <c r="F159" s="132">
        <f t="shared" si="24"/>
        <v>3.8865781812448506E-2</v>
      </c>
      <c r="G159" s="215">
        <f t="shared" si="25"/>
        <v>0.32714938265388899</v>
      </c>
      <c r="H159" s="123"/>
    </row>
    <row r="160" spans="1:8" ht="15.75" x14ac:dyDescent="0.25">
      <c r="A160" s="130"/>
      <c r="B160" s="131">
        <f>DATE(2020,2,1)</f>
        <v>43862</v>
      </c>
      <c r="C160" s="204">
        <v>709120</v>
      </c>
      <c r="D160" s="204">
        <v>194088.5</v>
      </c>
      <c r="E160" s="204">
        <v>203977</v>
      </c>
      <c r="F160" s="132">
        <f t="shared" si="24"/>
        <v>-4.8478504929477341E-2</v>
      </c>
      <c r="G160" s="215">
        <f t="shared" si="25"/>
        <v>0.27370332242779782</v>
      </c>
      <c r="H160" s="123"/>
    </row>
    <row r="161" spans="1:8" ht="15.75" x14ac:dyDescent="0.25">
      <c r="A161" s="130"/>
      <c r="B161" s="131">
        <f>DATE(2020,3,1)</f>
        <v>43891</v>
      </c>
      <c r="C161" s="204">
        <v>443457</v>
      </c>
      <c r="D161" s="204">
        <v>137240.5</v>
      </c>
      <c r="E161" s="204">
        <v>120427</v>
      </c>
      <c r="F161" s="132">
        <f t="shared" si="24"/>
        <v>0.13961570079799382</v>
      </c>
      <c r="G161" s="215">
        <f t="shared" si="25"/>
        <v>0.30947870932243715</v>
      </c>
      <c r="H161" s="123"/>
    </row>
    <row r="162" spans="1:8" ht="15.75" thickBot="1" x14ac:dyDescent="0.25">
      <c r="A162" s="133"/>
      <c r="B162" s="134"/>
      <c r="C162" s="204"/>
      <c r="D162" s="204"/>
      <c r="E162" s="204"/>
      <c r="F162" s="132"/>
      <c r="G162" s="215"/>
      <c r="H162" s="123"/>
    </row>
    <row r="163" spans="1:8" ht="17.25" thickTop="1" thickBot="1" x14ac:dyDescent="0.3">
      <c r="A163" s="135" t="s">
        <v>14</v>
      </c>
      <c r="B163" s="136"/>
      <c r="C163" s="201">
        <f>SUM(C153:C162)</f>
        <v>5636630</v>
      </c>
      <c r="D163" s="207">
        <f>SUM(D153:D162)</f>
        <v>1626696</v>
      </c>
      <c r="E163" s="207">
        <f>SUM(E153:E162)</f>
        <v>1612146.5</v>
      </c>
      <c r="F163" s="143">
        <f>(+D163-E163)/E163</f>
        <v>9.0249242236980325E-3</v>
      </c>
      <c r="G163" s="217">
        <f>D163/C163</f>
        <v>0.28859371645823834</v>
      </c>
      <c r="H163" s="123"/>
    </row>
    <row r="164" spans="1:8" ht="16.5" thickTop="1" thickBot="1" x14ac:dyDescent="0.25">
      <c r="A164" s="146"/>
      <c r="B164" s="139"/>
      <c r="C164" s="205"/>
      <c r="D164" s="205"/>
      <c r="E164" s="205"/>
      <c r="F164" s="140"/>
      <c r="G164" s="216"/>
      <c r="H164" s="123"/>
    </row>
    <row r="165" spans="1:8" ht="17.25" thickTop="1" thickBot="1" x14ac:dyDescent="0.3">
      <c r="A165" s="147" t="s">
        <v>41</v>
      </c>
      <c r="B165" s="121"/>
      <c r="C165" s="201">
        <f>C163+C151+C115+C91+C67+C43+C19+C55+C139+C31+C103+C127+C79</f>
        <v>884799054.5</v>
      </c>
      <c r="D165" s="201">
        <f>D163+D151+D115+D91+D67+D43+D19+D55+D139+D31+D103+D127+D79</f>
        <v>182369019.38999999</v>
      </c>
      <c r="E165" s="201">
        <f>E163+E151+E115+E91+E67+E43+E19+E55+E139+E31+E103+E127+E79</f>
        <v>196837770.93999997</v>
      </c>
      <c r="F165" s="137">
        <f>(+D165-E165)/E165</f>
        <v>-7.3505971343326898E-2</v>
      </c>
      <c r="G165" s="212">
        <f>D165/C165</f>
        <v>0.20611348809934785</v>
      </c>
      <c r="H165" s="123"/>
    </row>
    <row r="166" spans="1:8" ht="17.25" thickTop="1" thickBot="1" x14ac:dyDescent="0.3">
      <c r="A166" s="147"/>
      <c r="B166" s="121"/>
      <c r="C166" s="201"/>
      <c r="D166" s="201"/>
      <c r="E166" s="201"/>
      <c r="F166" s="137"/>
      <c r="G166" s="212"/>
      <c r="H166" s="123"/>
    </row>
    <row r="167" spans="1:8" ht="17.25" thickTop="1" thickBot="1" x14ac:dyDescent="0.3">
      <c r="A167" s="265" t="s">
        <v>42</v>
      </c>
      <c r="B167" s="266"/>
      <c r="C167" s="206">
        <f>SUM(C17+C29+C41+C53+C65+C77+C89+C101+C113+C125+C137+C149+C161)</f>
        <v>56154173.5</v>
      </c>
      <c r="D167" s="206">
        <f>SUM(D17+D29+D41+D53+D65+D77+D89+D101+D113+D125+D137+D149+D161)</f>
        <v>11565175.920000002</v>
      </c>
      <c r="E167" s="206">
        <f>SUM(E17+E29+E41+E53+E65+E77+E89+E101+E113+E125+E137+E149+E161)</f>
        <v>25576250.340000004</v>
      </c>
      <c r="F167" s="143">
        <f>(+D167-E167)/E167</f>
        <v>-0.54781581481814667</v>
      </c>
      <c r="G167" s="217">
        <f>D167/C167</f>
        <v>0.20595398701754558</v>
      </c>
      <c r="H167" s="123"/>
    </row>
    <row r="168" spans="1:8" ht="16.5" thickTop="1" x14ac:dyDescent="0.25">
      <c r="A168" s="256"/>
      <c r="B168" s="258"/>
      <c r="C168" s="259"/>
      <c r="D168" s="259"/>
      <c r="E168" s="259"/>
      <c r="F168" s="260"/>
      <c r="G168" s="257"/>
      <c r="H168" s="257"/>
    </row>
    <row r="169" spans="1:8" ht="18.75" x14ac:dyDescent="0.3">
      <c r="A169" s="263" t="s">
        <v>43</v>
      </c>
      <c r="B169" s="117"/>
      <c r="C169" s="208"/>
      <c r="D169" s="208"/>
      <c r="E169" s="208"/>
      <c r="F169" s="148"/>
      <c r="G169" s="220"/>
    </row>
    <row r="170" spans="1:8" ht="15.75" x14ac:dyDescent="0.25">
      <c r="A170" s="72"/>
    </row>
  </sheetData>
  <phoneticPr fontId="0" type="noConversion"/>
  <printOptions horizontalCentered="1"/>
  <pageMargins left="0.45" right="0.25" top="0.31944444444444398" bottom="0.2" header="0.5" footer="0.5"/>
  <pageSetup scale="66" orientation="landscape" r:id="rId1"/>
  <headerFooter alignWithMargins="0"/>
  <rowBreaks count="4" manualBreakCount="4">
    <brk id="43" max="7" man="1"/>
    <brk id="79" max="7" man="1"/>
    <brk id="115" max="7" man="1"/>
    <brk id="15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72"/>
  <sheetViews>
    <sheetView showOutlineSymbols="0" view="pageBreakPreview" topLeftCell="A125" zoomScale="60" zoomScaleNormal="100" workbookViewId="0">
      <selection activeCell="U156" sqref="U15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44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45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149" t="s">
        <v>74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2" t="s">
        <v>70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46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47</v>
      </c>
      <c r="D7" s="223" t="s">
        <v>33</v>
      </c>
      <c r="E7" s="223" t="s">
        <v>3</v>
      </c>
      <c r="F7" s="156"/>
      <c r="G7" s="236" t="s">
        <v>34</v>
      </c>
      <c r="H7" s="253" t="s">
        <v>34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48</v>
      </c>
      <c r="D8" s="224" t="s">
        <v>49</v>
      </c>
      <c r="E8" s="224" t="s">
        <v>49</v>
      </c>
      <c r="F8" s="160" t="s">
        <v>8</v>
      </c>
      <c r="G8" s="238" t="s">
        <v>37</v>
      </c>
      <c r="H8" s="254" t="s">
        <v>50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38</v>
      </c>
      <c r="B10" s="165">
        <f>DATE(19,7,1)</f>
        <v>7122</v>
      </c>
      <c r="C10" s="226">
        <v>121214833.89</v>
      </c>
      <c r="D10" s="226">
        <v>12400602.17</v>
      </c>
      <c r="E10" s="226">
        <v>11548721.09</v>
      </c>
      <c r="F10" s="166">
        <f t="shared" ref="F10:F18" si="0">(+D10-E10)/E10</f>
        <v>7.3764105424421508E-2</v>
      </c>
      <c r="G10" s="241">
        <f t="shared" ref="G10:G18" si="1">D10/C10</f>
        <v>0.10230267841024551</v>
      </c>
      <c r="H10" s="242">
        <f t="shared" ref="H10:H18" si="2">1-G10</f>
        <v>0.89769732158975446</v>
      </c>
      <c r="I10" s="157"/>
    </row>
    <row r="11" spans="1:9" ht="15.75" x14ac:dyDescent="0.25">
      <c r="A11" s="164"/>
      <c r="B11" s="165">
        <f>DATE(19,8,1)</f>
        <v>7153</v>
      </c>
      <c r="C11" s="226">
        <v>127273364.16</v>
      </c>
      <c r="D11" s="226">
        <v>12656746.98</v>
      </c>
      <c r="E11" s="226">
        <v>12278666.34</v>
      </c>
      <c r="F11" s="166">
        <f t="shared" si="0"/>
        <v>3.0791669838631727E-2</v>
      </c>
      <c r="G11" s="241">
        <f t="shared" si="1"/>
        <v>9.9445371492567297E-2</v>
      </c>
      <c r="H11" s="242">
        <f t="shared" si="2"/>
        <v>0.90055462850743273</v>
      </c>
      <c r="I11" s="157"/>
    </row>
    <row r="12" spans="1:9" ht="15.75" x14ac:dyDescent="0.25">
      <c r="A12" s="164"/>
      <c r="B12" s="165">
        <f>DATE(19,9,1)</f>
        <v>7184</v>
      </c>
      <c r="C12" s="226">
        <v>113582337.68000001</v>
      </c>
      <c r="D12" s="226">
        <v>11070519.380000001</v>
      </c>
      <c r="E12" s="226">
        <v>11479851.300000001</v>
      </c>
      <c r="F12" s="166">
        <f t="shared" si="0"/>
        <v>-3.5656552450291749E-2</v>
      </c>
      <c r="G12" s="241">
        <f t="shared" si="1"/>
        <v>9.7466909082197364E-2</v>
      </c>
      <c r="H12" s="242">
        <f t="shared" si="2"/>
        <v>0.90253309091780265</v>
      </c>
      <c r="I12" s="157"/>
    </row>
    <row r="13" spans="1:9" ht="15.75" x14ac:dyDescent="0.25">
      <c r="A13" s="164"/>
      <c r="B13" s="165">
        <f>DATE(19,10,1)</f>
        <v>7214</v>
      </c>
      <c r="C13" s="226">
        <v>115818968.11</v>
      </c>
      <c r="D13" s="226">
        <v>11529928.41</v>
      </c>
      <c r="E13" s="226">
        <v>11766741.380000001</v>
      </c>
      <c r="F13" s="166">
        <f t="shared" si="0"/>
        <v>-2.0125620369502901E-2</v>
      </c>
      <c r="G13" s="241">
        <f t="shared" si="1"/>
        <v>9.9551296287231278E-2</v>
      </c>
      <c r="H13" s="242">
        <f t="shared" si="2"/>
        <v>0.90044870371276875</v>
      </c>
      <c r="I13" s="157"/>
    </row>
    <row r="14" spans="1:9" ht="15.75" x14ac:dyDescent="0.25">
      <c r="A14" s="164"/>
      <c r="B14" s="165">
        <f>DATE(19,11,1)</f>
        <v>7245</v>
      </c>
      <c r="C14" s="226">
        <v>121833977.98</v>
      </c>
      <c r="D14" s="226">
        <v>12272643.01</v>
      </c>
      <c r="E14" s="226">
        <v>11316404.939999999</v>
      </c>
      <c r="F14" s="166">
        <f t="shared" si="0"/>
        <v>8.4500163706584391E-2</v>
      </c>
      <c r="G14" s="241">
        <f t="shared" si="1"/>
        <v>0.10073251496404927</v>
      </c>
      <c r="H14" s="242">
        <f t="shared" si="2"/>
        <v>0.89926748503595078</v>
      </c>
      <c r="I14" s="157"/>
    </row>
    <row r="15" spans="1:9" ht="15.75" x14ac:dyDescent="0.25">
      <c r="A15" s="164"/>
      <c r="B15" s="165">
        <f>DATE(19,12,1)</f>
        <v>7275</v>
      </c>
      <c r="C15" s="226">
        <v>127073341.54000001</v>
      </c>
      <c r="D15" s="226">
        <v>12792439.390000001</v>
      </c>
      <c r="E15" s="226">
        <v>12753886.49</v>
      </c>
      <c r="F15" s="166">
        <f t="shared" si="0"/>
        <v>3.0228354337502317E-3</v>
      </c>
      <c r="G15" s="241">
        <f t="shared" si="1"/>
        <v>0.10066973320264196</v>
      </c>
      <c r="H15" s="242">
        <f t="shared" si="2"/>
        <v>0.89933026679735806</v>
      </c>
      <c r="I15" s="157"/>
    </row>
    <row r="16" spans="1:9" ht="15.75" x14ac:dyDescent="0.25">
      <c r="A16" s="164"/>
      <c r="B16" s="165">
        <f>DATE(20,1,1)</f>
        <v>7306</v>
      </c>
      <c r="C16" s="226">
        <v>112289386.34</v>
      </c>
      <c r="D16" s="226">
        <v>10714900.529999999</v>
      </c>
      <c r="E16" s="226">
        <v>10438169.560000001</v>
      </c>
      <c r="F16" s="166">
        <f t="shared" si="0"/>
        <v>2.6511446131365468E-2</v>
      </c>
      <c r="G16" s="241">
        <f t="shared" si="1"/>
        <v>9.5422202215590085E-2</v>
      </c>
      <c r="H16" s="242">
        <f t="shared" si="2"/>
        <v>0.90457779778440994</v>
      </c>
      <c r="I16" s="157"/>
    </row>
    <row r="17" spans="1:9" ht="15.75" x14ac:dyDescent="0.25">
      <c r="A17" s="164"/>
      <c r="B17" s="165">
        <f>DATE(20,2,1)</f>
        <v>7337</v>
      </c>
      <c r="C17" s="226">
        <v>120790140.87</v>
      </c>
      <c r="D17" s="226">
        <v>11908211.5</v>
      </c>
      <c r="E17" s="226">
        <v>10577892.76</v>
      </c>
      <c r="F17" s="166">
        <f t="shared" si="0"/>
        <v>0.12576406002437107</v>
      </c>
      <c r="G17" s="241">
        <f t="shared" si="1"/>
        <v>9.8585955892014188E-2</v>
      </c>
      <c r="H17" s="242">
        <f t="shared" si="2"/>
        <v>0.90141404410798587</v>
      </c>
      <c r="I17" s="157"/>
    </row>
    <row r="18" spans="1:9" ht="15.75" x14ac:dyDescent="0.25">
      <c r="A18" s="164"/>
      <c r="B18" s="165">
        <f>DATE(20,3,1)</f>
        <v>7366</v>
      </c>
      <c r="C18" s="226">
        <v>61246450.450000003</v>
      </c>
      <c r="D18" s="226">
        <v>5911698.1600000001</v>
      </c>
      <c r="E18" s="226">
        <v>13564921.23</v>
      </c>
      <c r="F18" s="166">
        <f t="shared" si="0"/>
        <v>-0.56419222347375175</v>
      </c>
      <c r="G18" s="241">
        <f t="shared" si="1"/>
        <v>9.6523114671374394E-2</v>
      </c>
      <c r="H18" s="242">
        <f t="shared" si="2"/>
        <v>0.90347688532862558</v>
      </c>
      <c r="I18" s="157"/>
    </row>
    <row r="19" spans="1:9" ht="15.75" thickBot="1" x14ac:dyDescent="0.25">
      <c r="A19" s="167"/>
      <c r="B19" s="168"/>
      <c r="C19" s="226"/>
      <c r="D19" s="226"/>
      <c r="E19" s="226"/>
      <c r="F19" s="166"/>
      <c r="G19" s="241"/>
      <c r="H19" s="242"/>
      <c r="I19" s="157"/>
    </row>
    <row r="20" spans="1:9" ht="17.25" thickTop="1" thickBot="1" x14ac:dyDescent="0.3">
      <c r="A20" s="169" t="s">
        <v>14</v>
      </c>
      <c r="B20" s="155"/>
      <c r="C20" s="223">
        <f>SUM(C10:C19)</f>
        <v>1021122801.0200001</v>
      </c>
      <c r="D20" s="223">
        <f>SUM(D10:D19)</f>
        <v>101257689.53</v>
      </c>
      <c r="E20" s="223">
        <f>SUM(E10:E19)</f>
        <v>105725255.09000002</v>
      </c>
      <c r="F20" s="170">
        <f>(+D20-E20)/E20</f>
        <v>-4.2256370591841494E-2</v>
      </c>
      <c r="G20" s="236">
        <f>D20/C20</f>
        <v>9.9163087367017608E-2</v>
      </c>
      <c r="H20" s="237">
        <f>1-G20</f>
        <v>0.90083691263298238</v>
      </c>
      <c r="I20" s="157"/>
    </row>
    <row r="21" spans="1:9" ht="15.75" thickTop="1" x14ac:dyDescent="0.2">
      <c r="A21" s="171"/>
      <c r="B21" s="172"/>
      <c r="C21" s="227"/>
      <c r="D21" s="227"/>
      <c r="E21" s="227"/>
      <c r="F21" s="173"/>
      <c r="G21" s="243"/>
      <c r="H21" s="244"/>
      <c r="I21" s="157"/>
    </row>
    <row r="22" spans="1:9" ht="15.75" x14ac:dyDescent="0.25">
      <c r="A22" s="19" t="s">
        <v>51</v>
      </c>
      <c r="B22" s="165">
        <f>DATE(19,7,1)</f>
        <v>7122</v>
      </c>
      <c r="C22" s="226">
        <v>61310653.93</v>
      </c>
      <c r="D22" s="226">
        <v>6237251.8300000001</v>
      </c>
      <c r="E22" s="226">
        <v>6830347.7599999998</v>
      </c>
      <c r="F22" s="166">
        <f t="shared" ref="F22:F30" si="3">(+D22-E22)/E22</f>
        <v>-8.6832464588889352E-2</v>
      </c>
      <c r="G22" s="241">
        <f t="shared" ref="G22:G30" si="4">D22/C22</f>
        <v>0.10173194102808357</v>
      </c>
      <c r="H22" s="242">
        <f t="shared" ref="H22:H30" si="5">1-G22</f>
        <v>0.89826805897191642</v>
      </c>
      <c r="I22" s="157"/>
    </row>
    <row r="23" spans="1:9" ht="15.75" x14ac:dyDescent="0.25">
      <c r="A23" s="19"/>
      <c r="B23" s="165">
        <f>DATE(19,8,1)</f>
        <v>7153</v>
      </c>
      <c r="C23" s="226">
        <v>61567378.380000003</v>
      </c>
      <c r="D23" s="226">
        <v>6248302.3499999996</v>
      </c>
      <c r="E23" s="226">
        <v>6442436.2599999998</v>
      </c>
      <c r="F23" s="166">
        <f t="shared" si="3"/>
        <v>-3.0133617495813635E-2</v>
      </c>
      <c r="G23" s="241">
        <f t="shared" si="4"/>
        <v>0.10148722447518967</v>
      </c>
      <c r="H23" s="242">
        <f t="shared" si="5"/>
        <v>0.89851277552481035</v>
      </c>
      <c r="I23" s="157"/>
    </row>
    <row r="24" spans="1:9" ht="15.75" x14ac:dyDescent="0.25">
      <c r="A24" s="19"/>
      <c r="B24" s="165">
        <f>DATE(19,9,1)</f>
        <v>7184</v>
      </c>
      <c r="C24" s="226">
        <v>56369402.539999999</v>
      </c>
      <c r="D24" s="226">
        <v>5841517.5999999996</v>
      </c>
      <c r="E24" s="226">
        <v>6263081.7199999997</v>
      </c>
      <c r="F24" s="166">
        <f t="shared" si="3"/>
        <v>-6.7309375615172418E-2</v>
      </c>
      <c r="G24" s="241">
        <f t="shared" si="4"/>
        <v>0.10362922679293665</v>
      </c>
      <c r="H24" s="242">
        <f t="shared" si="5"/>
        <v>0.89637077320706338</v>
      </c>
      <c r="I24" s="157"/>
    </row>
    <row r="25" spans="1:9" ht="15.75" x14ac:dyDescent="0.25">
      <c r="A25" s="19"/>
      <c r="B25" s="165">
        <f>DATE(19,10,1)</f>
        <v>7214</v>
      </c>
      <c r="C25" s="226">
        <v>54504425.119999997</v>
      </c>
      <c r="D25" s="226">
        <v>5457854.2400000002</v>
      </c>
      <c r="E25" s="226">
        <v>5583864.3700000001</v>
      </c>
      <c r="F25" s="166">
        <f t="shared" si="3"/>
        <v>-2.2566832152479357E-2</v>
      </c>
      <c r="G25" s="241">
        <f t="shared" si="4"/>
        <v>0.10013598396797475</v>
      </c>
      <c r="H25" s="242">
        <f t="shared" si="5"/>
        <v>0.89986401603202526</v>
      </c>
      <c r="I25" s="157"/>
    </row>
    <row r="26" spans="1:9" ht="15.75" x14ac:dyDescent="0.25">
      <c r="A26" s="19"/>
      <c r="B26" s="165">
        <f>DATE(19,11,1)</f>
        <v>7245</v>
      </c>
      <c r="C26" s="226">
        <v>56168674.75</v>
      </c>
      <c r="D26" s="226">
        <v>5836194.6699999999</v>
      </c>
      <c r="E26" s="226">
        <v>5280741.6900000004</v>
      </c>
      <c r="F26" s="166">
        <f t="shared" si="3"/>
        <v>0.10518465257481653</v>
      </c>
      <c r="G26" s="241">
        <f t="shared" si="4"/>
        <v>0.1039047956174184</v>
      </c>
      <c r="H26" s="242">
        <f t="shared" si="5"/>
        <v>0.89609520438258161</v>
      </c>
      <c r="I26" s="157"/>
    </row>
    <row r="27" spans="1:9" ht="15.75" x14ac:dyDescent="0.25">
      <c r="A27" s="19"/>
      <c r="B27" s="165">
        <f>DATE(19,12,1)</f>
        <v>7275</v>
      </c>
      <c r="C27" s="226">
        <v>56403736.68</v>
      </c>
      <c r="D27" s="226">
        <v>5543658.9900000002</v>
      </c>
      <c r="E27" s="226">
        <v>6010123.4199999999</v>
      </c>
      <c r="F27" s="166">
        <f t="shared" si="3"/>
        <v>-7.761311996484753E-2</v>
      </c>
      <c r="G27" s="241">
        <f t="shared" si="4"/>
        <v>9.828531434807769E-2</v>
      </c>
      <c r="H27" s="242">
        <f t="shared" si="5"/>
        <v>0.90171468565192225</v>
      </c>
      <c r="I27" s="157"/>
    </row>
    <row r="28" spans="1:9" ht="15.75" x14ac:dyDescent="0.25">
      <c r="A28" s="19"/>
      <c r="B28" s="165">
        <f>DATE(20,1,1)</f>
        <v>7306</v>
      </c>
      <c r="C28" s="226">
        <v>50236716.439999998</v>
      </c>
      <c r="D28" s="226">
        <v>5017454.9000000004</v>
      </c>
      <c r="E28" s="226">
        <v>4663941.57</v>
      </c>
      <c r="F28" s="166">
        <f t="shared" si="3"/>
        <v>7.5797118101546032E-2</v>
      </c>
      <c r="G28" s="241">
        <f t="shared" si="4"/>
        <v>9.987625098850908E-2</v>
      </c>
      <c r="H28" s="242">
        <f t="shared" si="5"/>
        <v>0.90012374901149095</v>
      </c>
      <c r="I28" s="157"/>
    </row>
    <row r="29" spans="1:9" ht="15.75" x14ac:dyDescent="0.25">
      <c r="A29" s="19"/>
      <c r="B29" s="165">
        <f>DATE(20,2,1)</f>
        <v>7337</v>
      </c>
      <c r="C29" s="226">
        <v>59758040.100000001</v>
      </c>
      <c r="D29" s="226">
        <v>6113250.3200000003</v>
      </c>
      <c r="E29" s="226">
        <v>5430626.4699999997</v>
      </c>
      <c r="F29" s="166">
        <f t="shared" si="3"/>
        <v>0.12569891407022155</v>
      </c>
      <c r="G29" s="241">
        <f t="shared" si="4"/>
        <v>0.10230004715298553</v>
      </c>
      <c r="H29" s="242">
        <f t="shared" si="5"/>
        <v>0.89769995284701443</v>
      </c>
      <c r="I29" s="157"/>
    </row>
    <row r="30" spans="1:9" ht="15.75" x14ac:dyDescent="0.25">
      <c r="A30" s="19"/>
      <c r="B30" s="165">
        <f>DATE(20,3,1)</f>
        <v>7366</v>
      </c>
      <c r="C30" s="226">
        <v>31125584.690000001</v>
      </c>
      <c r="D30" s="226">
        <v>3135575.4</v>
      </c>
      <c r="E30" s="226">
        <v>7409577.3799999999</v>
      </c>
      <c r="F30" s="166">
        <f t="shared" si="3"/>
        <v>-0.5768212896374395</v>
      </c>
      <c r="G30" s="241">
        <f t="shared" si="4"/>
        <v>0.10073948589975869</v>
      </c>
      <c r="H30" s="242">
        <f t="shared" si="5"/>
        <v>0.89926051410024133</v>
      </c>
      <c r="I30" s="157"/>
    </row>
    <row r="31" spans="1:9" ht="15.75" thickBot="1" x14ac:dyDescent="0.25">
      <c r="A31" s="167"/>
      <c r="B31" s="165"/>
      <c r="C31" s="226"/>
      <c r="D31" s="226"/>
      <c r="E31" s="226"/>
      <c r="F31" s="166"/>
      <c r="G31" s="241"/>
      <c r="H31" s="242"/>
      <c r="I31" s="157"/>
    </row>
    <row r="32" spans="1:9" ht="17.25" thickTop="1" thickBot="1" x14ac:dyDescent="0.3">
      <c r="A32" s="169" t="s">
        <v>14</v>
      </c>
      <c r="B32" s="155"/>
      <c r="C32" s="223">
        <f>SUM(C22:C31)</f>
        <v>487444612.63000005</v>
      </c>
      <c r="D32" s="223">
        <f>SUM(D22:D31)</f>
        <v>49431060.300000004</v>
      </c>
      <c r="E32" s="223">
        <f>SUM(E22:E31)</f>
        <v>53914740.640000001</v>
      </c>
      <c r="F32" s="170">
        <f>(+D32-E32)/E32</f>
        <v>-8.3162420643706103E-2</v>
      </c>
      <c r="G32" s="236">
        <f>D32/C32</f>
        <v>0.10140856831568096</v>
      </c>
      <c r="H32" s="237">
        <f>1-G32</f>
        <v>0.8985914316843191</v>
      </c>
      <c r="I32" s="157"/>
    </row>
    <row r="33" spans="1:9" ht="15.75" thickTop="1" x14ac:dyDescent="0.2">
      <c r="A33" s="171"/>
      <c r="B33" s="172"/>
      <c r="C33" s="227"/>
      <c r="D33" s="227"/>
      <c r="E33" s="227"/>
      <c r="F33" s="173"/>
      <c r="G33" s="243"/>
      <c r="H33" s="244"/>
      <c r="I33" s="157"/>
    </row>
    <row r="34" spans="1:9" ht="15.75" x14ac:dyDescent="0.25">
      <c r="A34" s="19" t="s">
        <v>60</v>
      </c>
      <c r="B34" s="165">
        <f>DATE(19,7,1)</f>
        <v>7122</v>
      </c>
      <c r="C34" s="226">
        <v>27697147.809999999</v>
      </c>
      <c r="D34" s="226">
        <v>2967073.27</v>
      </c>
      <c r="E34" s="226">
        <v>2891699.85</v>
      </c>
      <c r="F34" s="166">
        <f t="shared" ref="F34:F42" si="6">(+D34-E34)/E34</f>
        <v>2.6065436909020804E-2</v>
      </c>
      <c r="G34" s="241">
        <f t="shared" ref="G34:G42" si="7">D34/C34</f>
        <v>0.10712558890012293</v>
      </c>
      <c r="H34" s="242">
        <f t="shared" ref="H34:H42" si="8">1-G34</f>
        <v>0.89287441109987709</v>
      </c>
      <c r="I34" s="157"/>
    </row>
    <row r="35" spans="1:9" ht="15.75" x14ac:dyDescent="0.25">
      <c r="A35" s="19"/>
      <c r="B35" s="165">
        <f>DATE(19,8,1)</f>
        <v>7153</v>
      </c>
      <c r="C35" s="226">
        <v>27431300.710000001</v>
      </c>
      <c r="D35" s="226">
        <v>2916117.84</v>
      </c>
      <c r="E35" s="226">
        <v>2785511.76</v>
      </c>
      <c r="F35" s="166">
        <f t="shared" si="6"/>
        <v>4.6887642649909363E-2</v>
      </c>
      <c r="G35" s="241">
        <f t="shared" si="7"/>
        <v>0.10630621824421682</v>
      </c>
      <c r="H35" s="242">
        <f t="shared" si="8"/>
        <v>0.89369378175578318</v>
      </c>
      <c r="I35" s="157"/>
    </row>
    <row r="36" spans="1:9" ht="15.75" x14ac:dyDescent="0.25">
      <c r="A36" s="19"/>
      <c r="B36" s="165">
        <f>DATE(19,9,1)</f>
        <v>7184</v>
      </c>
      <c r="C36" s="226">
        <v>27153283.5</v>
      </c>
      <c r="D36" s="226">
        <v>2810959.49</v>
      </c>
      <c r="E36" s="226">
        <v>2777720.64</v>
      </c>
      <c r="F36" s="166">
        <f t="shared" si="6"/>
        <v>1.1966232140608673E-2</v>
      </c>
      <c r="G36" s="241">
        <f t="shared" si="7"/>
        <v>0.10352189966270563</v>
      </c>
      <c r="H36" s="242">
        <f t="shared" si="8"/>
        <v>0.89647810033729436</v>
      </c>
      <c r="I36" s="157"/>
    </row>
    <row r="37" spans="1:9" ht="15.75" x14ac:dyDescent="0.25">
      <c r="A37" s="19"/>
      <c r="B37" s="165">
        <f>DATE(19,10,1)</f>
        <v>7214</v>
      </c>
      <c r="C37" s="226">
        <v>25839439.73</v>
      </c>
      <c r="D37" s="226">
        <v>2793135.18</v>
      </c>
      <c r="E37" s="226">
        <v>2633608.27</v>
      </c>
      <c r="F37" s="166">
        <f t="shared" si="6"/>
        <v>6.0573514982165573E-2</v>
      </c>
      <c r="G37" s="241">
        <f t="shared" si="7"/>
        <v>0.10809581048141403</v>
      </c>
      <c r="H37" s="242">
        <f t="shared" si="8"/>
        <v>0.89190418951858597</v>
      </c>
      <c r="I37" s="157"/>
    </row>
    <row r="38" spans="1:9" ht="15.75" x14ac:dyDescent="0.25">
      <c r="A38" s="19"/>
      <c r="B38" s="165">
        <f>DATE(19,11,1)</f>
        <v>7245</v>
      </c>
      <c r="C38" s="226">
        <v>26865495.899999999</v>
      </c>
      <c r="D38" s="226">
        <v>2801393.45</v>
      </c>
      <c r="E38" s="226">
        <v>2551021.5099999998</v>
      </c>
      <c r="F38" s="166">
        <f t="shared" si="6"/>
        <v>9.814575808888433E-2</v>
      </c>
      <c r="G38" s="241">
        <f t="shared" si="7"/>
        <v>0.10427477164119649</v>
      </c>
      <c r="H38" s="242">
        <f t="shared" si="8"/>
        <v>0.89572522835880353</v>
      </c>
      <c r="I38" s="157"/>
    </row>
    <row r="39" spans="1:9" ht="15.75" x14ac:dyDescent="0.25">
      <c r="A39" s="19"/>
      <c r="B39" s="165">
        <f>DATE(19,12,1)</f>
        <v>7275</v>
      </c>
      <c r="C39" s="226">
        <v>29175238.5</v>
      </c>
      <c r="D39" s="226">
        <v>3071223.19</v>
      </c>
      <c r="E39" s="226">
        <v>2786245.45</v>
      </c>
      <c r="F39" s="166">
        <f t="shared" si="6"/>
        <v>0.102280199327019</v>
      </c>
      <c r="G39" s="241">
        <f t="shared" si="7"/>
        <v>0.10526814339495459</v>
      </c>
      <c r="H39" s="242">
        <f t="shared" si="8"/>
        <v>0.89473185660504539</v>
      </c>
      <c r="I39" s="157"/>
    </row>
    <row r="40" spans="1:9" ht="15.75" x14ac:dyDescent="0.25">
      <c r="A40" s="19"/>
      <c r="B40" s="165">
        <f>DATE(20,1,1)</f>
        <v>7306</v>
      </c>
      <c r="C40" s="226">
        <v>27348468.940000001</v>
      </c>
      <c r="D40" s="226">
        <v>2879669.48</v>
      </c>
      <c r="E40" s="226">
        <v>2442891.35</v>
      </c>
      <c r="F40" s="166">
        <f t="shared" si="6"/>
        <v>0.1787955612516291</v>
      </c>
      <c r="G40" s="241">
        <f t="shared" si="7"/>
        <v>0.10529545497840216</v>
      </c>
      <c r="H40" s="242">
        <f t="shared" si="8"/>
        <v>0.8947045450215978</v>
      </c>
      <c r="I40" s="157"/>
    </row>
    <row r="41" spans="1:9" ht="15.75" x14ac:dyDescent="0.25">
      <c r="A41" s="19"/>
      <c r="B41" s="165">
        <f>DATE(20,2,1)</f>
        <v>7337</v>
      </c>
      <c r="C41" s="226">
        <v>29410469.309999999</v>
      </c>
      <c r="D41" s="226">
        <v>3109782.67</v>
      </c>
      <c r="E41" s="226">
        <v>2630594.64</v>
      </c>
      <c r="F41" s="166">
        <f t="shared" si="6"/>
        <v>0.18215958578855759</v>
      </c>
      <c r="G41" s="241">
        <f t="shared" si="7"/>
        <v>0.10573726781512553</v>
      </c>
      <c r="H41" s="242">
        <f t="shared" si="8"/>
        <v>0.89426273218487451</v>
      </c>
      <c r="I41" s="157"/>
    </row>
    <row r="42" spans="1:9" ht="15.75" x14ac:dyDescent="0.25">
      <c r="A42" s="19"/>
      <c r="B42" s="165">
        <f>DATE(20,3,1)</f>
        <v>7366</v>
      </c>
      <c r="C42" s="226">
        <v>15904789.1</v>
      </c>
      <c r="D42" s="226">
        <v>1626583.08</v>
      </c>
      <c r="E42" s="226">
        <v>3403749.63</v>
      </c>
      <c r="F42" s="166">
        <f t="shared" si="6"/>
        <v>-0.52212023303253352</v>
      </c>
      <c r="G42" s="241">
        <f t="shared" si="7"/>
        <v>0.1022700187832104</v>
      </c>
      <c r="H42" s="242">
        <f t="shared" si="8"/>
        <v>0.8977299812167896</v>
      </c>
      <c r="I42" s="157"/>
    </row>
    <row r="43" spans="1:9" ht="15.75" thickBot="1" x14ac:dyDescent="0.25">
      <c r="A43" s="167"/>
      <c r="B43" s="165"/>
      <c r="C43" s="226"/>
      <c r="D43" s="226"/>
      <c r="E43" s="226"/>
      <c r="F43" s="166"/>
      <c r="G43" s="241"/>
      <c r="H43" s="242"/>
      <c r="I43" s="157"/>
    </row>
    <row r="44" spans="1:9" ht="17.25" thickTop="1" thickBot="1" x14ac:dyDescent="0.3">
      <c r="A44" s="174" t="s">
        <v>14</v>
      </c>
      <c r="B44" s="175"/>
      <c r="C44" s="228">
        <f>SUM(C34:C43)</f>
        <v>236825633.5</v>
      </c>
      <c r="D44" s="228">
        <f>SUM(D34:D43)</f>
        <v>24975937.649999999</v>
      </c>
      <c r="E44" s="228">
        <f>SUM(E34:E43)</f>
        <v>24903043.100000001</v>
      </c>
      <c r="F44" s="176">
        <f>(+D44-E44)/E44</f>
        <v>2.9271342344501269E-3</v>
      </c>
      <c r="G44" s="245">
        <f>D44/C44</f>
        <v>0.10546129353011949</v>
      </c>
      <c r="H44" s="246">
        <f>1-G44</f>
        <v>0.89453870646988054</v>
      </c>
      <c r="I44" s="157"/>
    </row>
    <row r="45" spans="1:9" ht="15.75" thickTop="1" x14ac:dyDescent="0.2">
      <c r="A45" s="167"/>
      <c r="B45" s="168"/>
      <c r="C45" s="226"/>
      <c r="D45" s="226"/>
      <c r="E45" s="226"/>
      <c r="F45" s="166"/>
      <c r="G45" s="241"/>
      <c r="H45" s="242"/>
      <c r="I45" s="157"/>
    </row>
    <row r="46" spans="1:9" ht="15.75" x14ac:dyDescent="0.25">
      <c r="A46" s="177" t="s">
        <v>65</v>
      </c>
      <c r="B46" s="165">
        <f>DATE(19,7,1)</f>
        <v>7122</v>
      </c>
      <c r="C46" s="226">
        <v>184825387.59999999</v>
      </c>
      <c r="D46" s="226">
        <v>17279710.350000001</v>
      </c>
      <c r="E46" s="226">
        <v>17539246.18</v>
      </c>
      <c r="F46" s="166">
        <f t="shared" ref="F46:F54" si="9">(+D46-E46)/E46</f>
        <v>-1.4797433557660356E-2</v>
      </c>
      <c r="G46" s="241">
        <f t="shared" ref="G46:G54" si="10">D46/C46</f>
        <v>9.3492082307419996E-2</v>
      </c>
      <c r="H46" s="242">
        <f t="shared" ref="H46:H54" si="11">1-G46</f>
        <v>0.90650791769257999</v>
      </c>
      <c r="I46" s="157"/>
    </row>
    <row r="47" spans="1:9" ht="15.75" x14ac:dyDescent="0.25">
      <c r="A47" s="177"/>
      <c r="B47" s="165">
        <f>DATE(19,8,1)</f>
        <v>7153</v>
      </c>
      <c r="C47" s="226">
        <v>191102191.72</v>
      </c>
      <c r="D47" s="226">
        <v>17467037.460000001</v>
      </c>
      <c r="E47" s="226">
        <v>17390823.879999999</v>
      </c>
      <c r="F47" s="166">
        <f t="shared" si="9"/>
        <v>4.3824019221797754E-3</v>
      </c>
      <c r="G47" s="241">
        <f t="shared" si="10"/>
        <v>9.1401554858106679E-2</v>
      </c>
      <c r="H47" s="242">
        <f t="shared" si="11"/>
        <v>0.90859844514189336</v>
      </c>
      <c r="I47" s="157"/>
    </row>
    <row r="48" spans="1:9" ht="15.75" x14ac:dyDescent="0.25">
      <c r="A48" s="177"/>
      <c r="B48" s="165">
        <f>DATE(19,9,1)</f>
        <v>7184</v>
      </c>
      <c r="C48" s="226">
        <v>174203675.16999999</v>
      </c>
      <c r="D48" s="226">
        <v>16156127.949999999</v>
      </c>
      <c r="E48" s="226">
        <v>16350217.75</v>
      </c>
      <c r="F48" s="166">
        <f t="shared" si="9"/>
        <v>-1.1870777684291131E-2</v>
      </c>
      <c r="G48" s="241">
        <f t="shared" si="10"/>
        <v>9.2742750313583991E-2</v>
      </c>
      <c r="H48" s="242">
        <f t="shared" si="11"/>
        <v>0.90725724968641597</v>
      </c>
      <c r="I48" s="157"/>
    </row>
    <row r="49" spans="1:9" ht="15.75" x14ac:dyDescent="0.25">
      <c r="A49" s="177"/>
      <c r="B49" s="165">
        <f>DATE(19,10,1)</f>
        <v>7214</v>
      </c>
      <c r="C49" s="226">
        <v>179895954.49000001</v>
      </c>
      <c r="D49" s="226">
        <v>15798088.050000001</v>
      </c>
      <c r="E49" s="226">
        <v>15575678.630000001</v>
      </c>
      <c r="F49" s="166">
        <f t="shared" si="9"/>
        <v>1.4279276382322219E-2</v>
      </c>
      <c r="G49" s="241">
        <f t="shared" si="10"/>
        <v>8.7817917277723881E-2</v>
      </c>
      <c r="H49" s="242">
        <f t="shared" si="11"/>
        <v>0.91218208272227608</v>
      </c>
      <c r="I49" s="157"/>
    </row>
    <row r="50" spans="1:9" ht="15.75" x14ac:dyDescent="0.25">
      <c r="A50" s="177"/>
      <c r="B50" s="165">
        <f>DATE(19,11,1)</f>
        <v>7245</v>
      </c>
      <c r="C50" s="226">
        <v>183677518.47999999</v>
      </c>
      <c r="D50" s="226">
        <v>16997575.629999999</v>
      </c>
      <c r="E50" s="226">
        <v>14866628.689999999</v>
      </c>
      <c r="F50" s="166">
        <f t="shared" si="9"/>
        <v>0.1433376042702523</v>
      </c>
      <c r="G50" s="241">
        <f t="shared" si="10"/>
        <v>9.2540316151161456E-2</v>
      </c>
      <c r="H50" s="242">
        <f t="shared" si="11"/>
        <v>0.90745968384883857</v>
      </c>
      <c r="I50" s="157"/>
    </row>
    <row r="51" spans="1:9" ht="15.75" x14ac:dyDescent="0.25">
      <c r="A51" s="177"/>
      <c r="B51" s="165">
        <f>DATE(19,12,1)</f>
        <v>7275</v>
      </c>
      <c r="C51" s="226">
        <v>181160265.94999999</v>
      </c>
      <c r="D51" s="226">
        <v>16683119.9</v>
      </c>
      <c r="E51" s="226">
        <v>16436113.140000001</v>
      </c>
      <c r="F51" s="166">
        <f t="shared" si="9"/>
        <v>1.5028295187313353E-2</v>
      </c>
      <c r="G51" s="241">
        <f t="shared" si="10"/>
        <v>9.2090391965998331E-2</v>
      </c>
      <c r="H51" s="242">
        <f t="shared" si="11"/>
        <v>0.90790960803400167</v>
      </c>
      <c r="I51" s="157"/>
    </row>
    <row r="52" spans="1:9" ht="15.75" x14ac:dyDescent="0.25">
      <c r="A52" s="177"/>
      <c r="B52" s="165">
        <f>DATE(20,1,1)</f>
        <v>7306</v>
      </c>
      <c r="C52" s="226">
        <v>176836643.66999999</v>
      </c>
      <c r="D52" s="226">
        <v>16201519.720000001</v>
      </c>
      <c r="E52" s="226">
        <v>13439931.689999999</v>
      </c>
      <c r="F52" s="166">
        <f t="shared" si="9"/>
        <v>0.20547634420305608</v>
      </c>
      <c r="G52" s="241">
        <f t="shared" si="10"/>
        <v>9.1618566060517007E-2</v>
      </c>
      <c r="H52" s="242">
        <f t="shared" si="11"/>
        <v>0.90838143393948301</v>
      </c>
      <c r="I52" s="157"/>
    </row>
    <row r="53" spans="1:9" ht="15.75" x14ac:dyDescent="0.25">
      <c r="A53" s="177"/>
      <c r="B53" s="165">
        <f>DATE(20,2,1)</f>
        <v>7337</v>
      </c>
      <c r="C53" s="226">
        <v>186209419.06999999</v>
      </c>
      <c r="D53" s="226">
        <v>17277967.890000001</v>
      </c>
      <c r="E53" s="226">
        <v>15398690.67</v>
      </c>
      <c r="F53" s="166">
        <f t="shared" si="9"/>
        <v>0.1220413644428381</v>
      </c>
      <c r="G53" s="241">
        <f t="shared" si="10"/>
        <v>9.2787829833166774E-2</v>
      </c>
      <c r="H53" s="242">
        <f t="shared" si="11"/>
        <v>0.9072121701668332</v>
      </c>
      <c r="I53" s="157"/>
    </row>
    <row r="54" spans="1:9" ht="15.75" x14ac:dyDescent="0.25">
      <c r="A54" s="177"/>
      <c r="B54" s="165">
        <f>DATE(20,3,1)</f>
        <v>7366</v>
      </c>
      <c r="C54" s="226">
        <v>85590862.420000002</v>
      </c>
      <c r="D54" s="226">
        <v>8020184.3399999999</v>
      </c>
      <c r="E54" s="226">
        <v>18771751.93</v>
      </c>
      <c r="F54" s="166">
        <f t="shared" si="9"/>
        <v>-0.57275248629390985</v>
      </c>
      <c r="G54" s="241">
        <f t="shared" si="10"/>
        <v>9.3703744923662846E-2</v>
      </c>
      <c r="H54" s="242">
        <f t="shared" si="11"/>
        <v>0.90629625507633715</v>
      </c>
      <c r="I54" s="157"/>
    </row>
    <row r="55" spans="1:9" ht="15.75" thickBot="1" x14ac:dyDescent="0.25">
      <c r="A55" s="167"/>
      <c r="B55" s="168"/>
      <c r="C55" s="226"/>
      <c r="D55" s="226"/>
      <c r="E55" s="226"/>
      <c r="F55" s="166"/>
      <c r="G55" s="241"/>
      <c r="H55" s="242"/>
      <c r="I55" s="157"/>
    </row>
    <row r="56" spans="1:9" ht="17.25" thickTop="1" thickBot="1" x14ac:dyDescent="0.3">
      <c r="A56" s="174" t="s">
        <v>14</v>
      </c>
      <c r="B56" s="178"/>
      <c r="C56" s="228">
        <f>SUM(C46:C55)</f>
        <v>1543501918.5700002</v>
      </c>
      <c r="D56" s="228">
        <f>SUM(D46:D55)</f>
        <v>141881331.28999999</v>
      </c>
      <c r="E56" s="228">
        <f>SUM(E46:E55)</f>
        <v>145769082.56</v>
      </c>
      <c r="F56" s="176">
        <f>(+D56-E56)/E56</f>
        <v>-2.6670616304385216E-2</v>
      </c>
      <c r="G56" s="245">
        <f>D56/C56</f>
        <v>9.1921707114849593E-2</v>
      </c>
      <c r="H56" s="246">
        <f>1-G56</f>
        <v>0.90807829288515041</v>
      </c>
      <c r="I56" s="157"/>
    </row>
    <row r="57" spans="1:9" ht="15.75" thickTop="1" x14ac:dyDescent="0.2">
      <c r="A57" s="167"/>
      <c r="B57" s="168"/>
      <c r="C57" s="226"/>
      <c r="D57" s="226"/>
      <c r="E57" s="226"/>
      <c r="F57" s="166"/>
      <c r="G57" s="241"/>
      <c r="H57" s="242"/>
      <c r="I57" s="157"/>
    </row>
    <row r="58" spans="1:9" ht="15.75" x14ac:dyDescent="0.25">
      <c r="A58" s="164" t="s">
        <v>16</v>
      </c>
      <c r="B58" s="165">
        <f>DATE(19,7,1)</f>
        <v>7122</v>
      </c>
      <c r="C58" s="226">
        <v>115325495.95</v>
      </c>
      <c r="D58" s="226">
        <v>11411946.24</v>
      </c>
      <c r="E58" s="226">
        <v>11381105.73</v>
      </c>
      <c r="F58" s="166">
        <f t="shared" ref="F58:F66" si="12">(+D58-E58)/E58</f>
        <v>2.7097990943626684E-3</v>
      </c>
      <c r="G58" s="241">
        <f t="shared" ref="G58:G66" si="13">D58/C58</f>
        <v>9.8954235106413171E-2</v>
      </c>
      <c r="H58" s="242">
        <f t="shared" ref="H58:H66" si="14">1-G58</f>
        <v>0.90104576489358679</v>
      </c>
      <c r="I58" s="157"/>
    </row>
    <row r="59" spans="1:9" ht="15.75" x14ac:dyDescent="0.25">
      <c r="A59" s="164"/>
      <c r="B59" s="165">
        <f>DATE(19,8,1)</f>
        <v>7153</v>
      </c>
      <c r="C59" s="226">
        <v>122607190.3</v>
      </c>
      <c r="D59" s="226">
        <v>12220877.76</v>
      </c>
      <c r="E59" s="226">
        <v>11018606.25</v>
      </c>
      <c r="F59" s="166">
        <f t="shared" si="12"/>
        <v>0.10911284809728089</v>
      </c>
      <c r="G59" s="241">
        <f t="shared" si="13"/>
        <v>9.967504948198784E-2</v>
      </c>
      <c r="H59" s="242">
        <f t="shared" si="14"/>
        <v>0.9003249505180122</v>
      </c>
      <c r="I59" s="157"/>
    </row>
    <row r="60" spans="1:9" ht="15.75" x14ac:dyDescent="0.25">
      <c r="A60" s="164"/>
      <c r="B60" s="165">
        <f>DATE(19,9,1)</f>
        <v>7184</v>
      </c>
      <c r="C60" s="226">
        <v>115423599.31</v>
      </c>
      <c r="D60" s="226">
        <v>11441576.98</v>
      </c>
      <c r="E60" s="226">
        <v>11865007.26</v>
      </c>
      <c r="F60" s="166">
        <f t="shared" si="12"/>
        <v>-3.5687317396550781E-2</v>
      </c>
      <c r="G60" s="241">
        <f t="shared" si="13"/>
        <v>9.9126842763503489E-2</v>
      </c>
      <c r="H60" s="242">
        <f t="shared" si="14"/>
        <v>0.90087315723649652</v>
      </c>
      <c r="I60" s="157"/>
    </row>
    <row r="61" spans="1:9" ht="15.75" x14ac:dyDescent="0.25">
      <c r="A61" s="164"/>
      <c r="B61" s="165">
        <f>DATE(19,10,1)</f>
        <v>7214</v>
      </c>
      <c r="C61" s="226">
        <v>115210524.88</v>
      </c>
      <c r="D61" s="226">
        <v>11451574.32</v>
      </c>
      <c r="E61" s="226">
        <v>11049162.109999999</v>
      </c>
      <c r="F61" s="166">
        <f t="shared" si="12"/>
        <v>3.6420156206758821E-2</v>
      </c>
      <c r="G61" s="241">
        <f t="shared" si="13"/>
        <v>9.9396945998880173E-2</v>
      </c>
      <c r="H61" s="242">
        <f t="shared" si="14"/>
        <v>0.90060305400111984</v>
      </c>
      <c r="I61" s="157"/>
    </row>
    <row r="62" spans="1:9" ht="15.75" x14ac:dyDescent="0.25">
      <c r="A62" s="164"/>
      <c r="B62" s="165">
        <f>DATE(19,11,1)</f>
        <v>7245</v>
      </c>
      <c r="C62" s="226">
        <v>117396631.88</v>
      </c>
      <c r="D62" s="226">
        <v>11824386.49</v>
      </c>
      <c r="E62" s="226">
        <v>10320144.720000001</v>
      </c>
      <c r="F62" s="166">
        <f t="shared" si="12"/>
        <v>0.1457578174349477</v>
      </c>
      <c r="G62" s="241">
        <f t="shared" si="13"/>
        <v>0.10072168426506992</v>
      </c>
      <c r="H62" s="242">
        <f t="shared" si="14"/>
        <v>0.89927831573493011</v>
      </c>
      <c r="I62" s="157"/>
    </row>
    <row r="63" spans="1:9" ht="15.75" x14ac:dyDescent="0.25">
      <c r="A63" s="164"/>
      <c r="B63" s="165">
        <f>DATE(19,12,1)</f>
        <v>7275</v>
      </c>
      <c r="C63" s="226">
        <v>119668211.7</v>
      </c>
      <c r="D63" s="226">
        <v>12045926.43</v>
      </c>
      <c r="E63" s="226">
        <v>11723908.33</v>
      </c>
      <c r="F63" s="166">
        <f t="shared" si="12"/>
        <v>2.7466787604948768E-2</v>
      </c>
      <c r="G63" s="241">
        <f t="shared" si="13"/>
        <v>0.10066103820618888</v>
      </c>
      <c r="H63" s="242">
        <f t="shared" si="14"/>
        <v>0.89933896179381112</v>
      </c>
      <c r="I63" s="157"/>
    </row>
    <row r="64" spans="1:9" ht="15.75" x14ac:dyDescent="0.25">
      <c r="A64" s="164"/>
      <c r="B64" s="165">
        <f>DATE(20,1,1)</f>
        <v>7306</v>
      </c>
      <c r="C64" s="226">
        <v>106828720.7</v>
      </c>
      <c r="D64" s="226">
        <v>10728742.130000001</v>
      </c>
      <c r="E64" s="226">
        <v>10040160.470000001</v>
      </c>
      <c r="F64" s="166">
        <f t="shared" si="12"/>
        <v>6.8582734514800056E-2</v>
      </c>
      <c r="G64" s="241">
        <f t="shared" si="13"/>
        <v>0.10042937947491494</v>
      </c>
      <c r="H64" s="242">
        <f t="shared" si="14"/>
        <v>0.89957062052508507</v>
      </c>
      <c r="I64" s="157"/>
    </row>
    <row r="65" spans="1:9" ht="15.75" x14ac:dyDescent="0.25">
      <c r="A65" s="164"/>
      <c r="B65" s="165">
        <f>DATE(20,2,1)</f>
        <v>7337</v>
      </c>
      <c r="C65" s="226">
        <v>120448648.70999999</v>
      </c>
      <c r="D65" s="226">
        <v>12303150.609999999</v>
      </c>
      <c r="E65" s="226">
        <v>9810144.6999999993</v>
      </c>
      <c r="F65" s="166">
        <f t="shared" si="12"/>
        <v>0.2541252944006015</v>
      </c>
      <c r="G65" s="241">
        <f t="shared" si="13"/>
        <v>0.10214436394070195</v>
      </c>
      <c r="H65" s="242">
        <f t="shared" si="14"/>
        <v>0.89785563605929808</v>
      </c>
      <c r="I65" s="157"/>
    </row>
    <row r="66" spans="1:9" ht="15.75" x14ac:dyDescent="0.25">
      <c r="A66" s="164"/>
      <c r="B66" s="165">
        <f>DATE(20,3,1)</f>
        <v>7366</v>
      </c>
      <c r="C66" s="226">
        <v>57260010.420000002</v>
      </c>
      <c r="D66" s="226">
        <v>6157582.8700000001</v>
      </c>
      <c r="E66" s="226">
        <v>12873586.439999999</v>
      </c>
      <c r="F66" s="166">
        <f t="shared" si="12"/>
        <v>-0.52168862199367028</v>
      </c>
      <c r="G66" s="241">
        <f t="shared" si="13"/>
        <v>0.1075372292955304</v>
      </c>
      <c r="H66" s="242">
        <f t="shared" si="14"/>
        <v>0.89246277070446955</v>
      </c>
      <c r="I66" s="157"/>
    </row>
    <row r="67" spans="1:9" ht="15.75" thickBot="1" x14ac:dyDescent="0.25">
      <c r="A67" s="167"/>
      <c r="B67" s="165"/>
      <c r="C67" s="226"/>
      <c r="D67" s="226"/>
      <c r="E67" s="226"/>
      <c r="F67" s="166"/>
      <c r="G67" s="241"/>
      <c r="H67" s="242"/>
      <c r="I67" s="157"/>
    </row>
    <row r="68" spans="1:9" ht="17.25" thickTop="1" thickBot="1" x14ac:dyDescent="0.3">
      <c r="A68" s="174" t="s">
        <v>14</v>
      </c>
      <c r="B68" s="175"/>
      <c r="C68" s="228">
        <f>SUM(C58:C67)</f>
        <v>990169033.85000002</v>
      </c>
      <c r="D68" s="230">
        <f>SUM(D58:D67)</f>
        <v>99585763.829999998</v>
      </c>
      <c r="E68" s="271">
        <f>SUM(E58:E67)</f>
        <v>100081826.01000001</v>
      </c>
      <c r="F68" s="272">
        <f>(+D68-E68)/E68</f>
        <v>-4.956566039776707E-3</v>
      </c>
      <c r="G68" s="249">
        <f>D68/C68</f>
        <v>0.10057450841780836</v>
      </c>
      <c r="H68" s="270">
        <f>1-G68</f>
        <v>0.89942549158219165</v>
      </c>
      <c r="I68" s="157"/>
    </row>
    <row r="69" spans="1:9" ht="15.75" thickTop="1" x14ac:dyDescent="0.2">
      <c r="A69" s="167"/>
      <c r="B69" s="168"/>
      <c r="C69" s="226"/>
      <c r="D69" s="226"/>
      <c r="E69" s="226"/>
      <c r="F69" s="166"/>
      <c r="G69" s="241"/>
      <c r="H69" s="242"/>
      <c r="I69" s="157"/>
    </row>
    <row r="70" spans="1:9" ht="15.75" x14ac:dyDescent="0.25">
      <c r="A70" s="164" t="s">
        <v>66</v>
      </c>
      <c r="B70" s="165">
        <f>DATE(19,7,1)</f>
        <v>7122</v>
      </c>
      <c r="C70" s="226">
        <v>39783172.600000001</v>
      </c>
      <c r="D70" s="226">
        <v>3906046.69</v>
      </c>
      <c r="E70" s="226">
        <v>4536017.05</v>
      </c>
      <c r="F70" s="166">
        <f t="shared" ref="F70:F78" si="15">(+D70-E70)/E70</f>
        <v>-0.13888183246577521</v>
      </c>
      <c r="G70" s="241">
        <f t="shared" ref="G70:G78" si="16">D70/C70</f>
        <v>9.8183388471134642E-2</v>
      </c>
      <c r="H70" s="242">
        <f t="shared" ref="H70:H78" si="17">1-G70</f>
        <v>0.90181661152886539</v>
      </c>
      <c r="I70" s="157"/>
    </row>
    <row r="71" spans="1:9" ht="15.75" x14ac:dyDescent="0.25">
      <c r="A71" s="164"/>
      <c r="B71" s="165">
        <f>DATE(19,8,1)</f>
        <v>7153</v>
      </c>
      <c r="C71" s="226">
        <v>43743175.450000003</v>
      </c>
      <c r="D71" s="226">
        <v>4670857.45</v>
      </c>
      <c r="E71" s="226">
        <v>4611969.17</v>
      </c>
      <c r="F71" s="166">
        <f t="shared" si="15"/>
        <v>1.2768576247876405E-2</v>
      </c>
      <c r="G71" s="241">
        <f t="shared" si="16"/>
        <v>0.1067791124432417</v>
      </c>
      <c r="H71" s="242">
        <f t="shared" si="17"/>
        <v>0.89322088755675833</v>
      </c>
      <c r="I71" s="157"/>
    </row>
    <row r="72" spans="1:9" ht="15.75" x14ac:dyDescent="0.25">
      <c r="A72" s="164"/>
      <c r="B72" s="165">
        <f>DATE(19,9,1)</f>
        <v>7184</v>
      </c>
      <c r="C72" s="226">
        <v>42075238.560000002</v>
      </c>
      <c r="D72" s="226">
        <v>4421418.32</v>
      </c>
      <c r="E72" s="226">
        <v>4472303.22</v>
      </c>
      <c r="F72" s="166">
        <f t="shared" si="15"/>
        <v>-1.1377783995602929E-2</v>
      </c>
      <c r="G72" s="241">
        <f t="shared" si="16"/>
        <v>0.10508361856807973</v>
      </c>
      <c r="H72" s="242">
        <f t="shared" si="17"/>
        <v>0.89491638143192032</v>
      </c>
      <c r="I72" s="157"/>
    </row>
    <row r="73" spans="1:9" ht="15.75" x14ac:dyDescent="0.25">
      <c r="A73" s="164"/>
      <c r="B73" s="165">
        <f>DATE(19,10,1)</f>
        <v>7214</v>
      </c>
      <c r="C73" s="226">
        <v>41772739.68</v>
      </c>
      <c r="D73" s="226">
        <v>4469558.96</v>
      </c>
      <c r="E73" s="226">
        <v>4257625.9400000004</v>
      </c>
      <c r="F73" s="166">
        <f t="shared" si="15"/>
        <v>4.9777275642960674E-2</v>
      </c>
      <c r="G73" s="241">
        <f t="shared" si="16"/>
        <v>0.10699702711000161</v>
      </c>
      <c r="H73" s="242">
        <f t="shared" si="17"/>
        <v>0.89300297288999841</v>
      </c>
      <c r="I73" s="157"/>
    </row>
    <row r="74" spans="1:9" ht="15.75" x14ac:dyDescent="0.25">
      <c r="A74" s="164"/>
      <c r="B74" s="165">
        <f>DATE(19,11,1)</f>
        <v>7245</v>
      </c>
      <c r="C74" s="226">
        <v>42815164.240000002</v>
      </c>
      <c r="D74" s="226">
        <v>4362721.83</v>
      </c>
      <c r="E74" s="226">
        <v>4366684.07</v>
      </c>
      <c r="F74" s="166">
        <f t="shared" si="15"/>
        <v>-9.0737958974902971E-4</v>
      </c>
      <c r="G74" s="241">
        <f t="shared" si="16"/>
        <v>0.10189665057793085</v>
      </c>
      <c r="H74" s="242">
        <f t="shared" si="17"/>
        <v>0.89810334942206915</v>
      </c>
      <c r="I74" s="157"/>
    </row>
    <row r="75" spans="1:9" ht="15.75" x14ac:dyDescent="0.25">
      <c r="A75" s="164"/>
      <c r="B75" s="165">
        <f>DATE(19,12,1)</f>
        <v>7275</v>
      </c>
      <c r="C75" s="226">
        <v>44549769.780000001</v>
      </c>
      <c r="D75" s="226">
        <v>4542091.8099999996</v>
      </c>
      <c r="E75" s="226">
        <v>4828790.12</v>
      </c>
      <c r="F75" s="166">
        <f t="shared" si="15"/>
        <v>-5.9372700588610487E-2</v>
      </c>
      <c r="G75" s="241">
        <f t="shared" si="16"/>
        <v>0.10195544965619796</v>
      </c>
      <c r="H75" s="242">
        <f t="shared" si="17"/>
        <v>0.89804455034380204</v>
      </c>
      <c r="I75" s="157"/>
    </row>
    <row r="76" spans="1:9" ht="15.75" x14ac:dyDescent="0.25">
      <c r="A76" s="164"/>
      <c r="B76" s="165">
        <f>DATE(20,1,1)</f>
        <v>7306</v>
      </c>
      <c r="C76" s="226">
        <v>41625555.549999997</v>
      </c>
      <c r="D76" s="226">
        <v>4236468.1100000003</v>
      </c>
      <c r="E76" s="226">
        <v>4076690.38</v>
      </c>
      <c r="F76" s="166">
        <f t="shared" si="15"/>
        <v>3.9193000965651079E-2</v>
      </c>
      <c r="G76" s="241">
        <f t="shared" si="16"/>
        <v>0.10177565329815762</v>
      </c>
      <c r="H76" s="242">
        <f t="shared" si="17"/>
        <v>0.89822434670184237</v>
      </c>
      <c r="I76" s="157"/>
    </row>
    <row r="77" spans="1:9" ht="15.75" x14ac:dyDescent="0.25">
      <c r="A77" s="164"/>
      <c r="B77" s="165">
        <f>DATE(20,2,1)</f>
        <v>7337</v>
      </c>
      <c r="C77" s="226">
        <v>49130192.359999999</v>
      </c>
      <c r="D77" s="226">
        <v>5084258.8</v>
      </c>
      <c r="E77" s="226">
        <v>4582840.96</v>
      </c>
      <c r="F77" s="166">
        <f t="shared" si="15"/>
        <v>0.10941200979402957</v>
      </c>
      <c r="G77" s="241">
        <f t="shared" si="16"/>
        <v>0.10348542425287585</v>
      </c>
      <c r="H77" s="242">
        <f t="shared" si="17"/>
        <v>0.89651457574712412</v>
      </c>
      <c r="I77" s="157"/>
    </row>
    <row r="78" spans="1:9" ht="15.75" x14ac:dyDescent="0.25">
      <c r="A78" s="164"/>
      <c r="B78" s="165">
        <f>DATE(20,3,1)</f>
        <v>7366</v>
      </c>
      <c r="C78" s="226">
        <v>25138411.57</v>
      </c>
      <c r="D78" s="226">
        <v>2617300.5499999998</v>
      </c>
      <c r="E78" s="226">
        <v>5571169.2199999997</v>
      </c>
      <c r="F78" s="166">
        <f t="shared" si="15"/>
        <v>-0.53020623739014694</v>
      </c>
      <c r="G78" s="241">
        <f t="shared" si="16"/>
        <v>0.10411558990956563</v>
      </c>
      <c r="H78" s="242">
        <f t="shared" si="17"/>
        <v>0.8958844100904344</v>
      </c>
      <c r="I78" s="157"/>
    </row>
    <row r="79" spans="1:9" ht="15.75" thickBot="1" x14ac:dyDescent="0.25">
      <c r="A79" s="167"/>
      <c r="B79" s="165"/>
      <c r="C79" s="226"/>
      <c r="D79" s="226"/>
      <c r="E79" s="226"/>
      <c r="F79" s="166"/>
      <c r="G79" s="241"/>
      <c r="H79" s="242"/>
      <c r="I79" s="157"/>
    </row>
    <row r="80" spans="1:9" ht="17.25" thickTop="1" thickBot="1" x14ac:dyDescent="0.3">
      <c r="A80" s="174" t="s">
        <v>14</v>
      </c>
      <c r="B80" s="175"/>
      <c r="C80" s="228">
        <f>SUM(C70:C79)</f>
        <v>370633419.79000002</v>
      </c>
      <c r="D80" s="230">
        <f>SUM(D70:D79)</f>
        <v>38310722.519999996</v>
      </c>
      <c r="E80" s="271">
        <f>SUM(E70:E79)</f>
        <v>41304090.129999995</v>
      </c>
      <c r="F80" s="272">
        <f>(+D80-E80)/E80</f>
        <v>-7.2471457441108375E-2</v>
      </c>
      <c r="G80" s="249">
        <f>D80/C80</f>
        <v>0.10336553714370052</v>
      </c>
      <c r="H80" s="270">
        <f>1-G80</f>
        <v>0.89663446285629944</v>
      </c>
      <c r="I80" s="157"/>
    </row>
    <row r="81" spans="1:9" ht="15.75" thickTop="1" x14ac:dyDescent="0.2">
      <c r="A81" s="167"/>
      <c r="B81" s="168"/>
      <c r="C81" s="226"/>
      <c r="D81" s="226"/>
      <c r="E81" s="226"/>
      <c r="F81" s="166"/>
      <c r="G81" s="241"/>
      <c r="H81" s="242"/>
      <c r="I81" s="157"/>
    </row>
    <row r="82" spans="1:9" ht="15.75" x14ac:dyDescent="0.25">
      <c r="A82" s="164" t="s">
        <v>17</v>
      </c>
      <c r="B82" s="165">
        <f>DATE(19,7,1)</f>
        <v>7122</v>
      </c>
      <c r="C82" s="226">
        <v>45458425.399999999</v>
      </c>
      <c r="D82" s="226">
        <v>4987956.2</v>
      </c>
      <c r="E82" s="226">
        <v>5381167.3099999996</v>
      </c>
      <c r="F82" s="166">
        <f t="shared" ref="F82:F90" si="18">(+D82-E82)/E82</f>
        <v>-7.3071712390224752E-2</v>
      </c>
      <c r="G82" s="241">
        <f t="shared" ref="G82:G90" si="19">D82/C82</f>
        <v>0.10972567034844986</v>
      </c>
      <c r="H82" s="242">
        <f t="shared" ref="H82:H90" si="20">1-G82</f>
        <v>0.89027432965155018</v>
      </c>
      <c r="I82" s="157"/>
    </row>
    <row r="83" spans="1:9" ht="15.75" x14ac:dyDescent="0.25">
      <c r="A83" s="164"/>
      <c r="B83" s="165">
        <f>DATE(19,8,1)</f>
        <v>7153</v>
      </c>
      <c r="C83" s="226">
        <v>47408888.340000004</v>
      </c>
      <c r="D83" s="226">
        <v>5297182</v>
      </c>
      <c r="E83" s="226">
        <v>5291596.82</v>
      </c>
      <c r="F83" s="166">
        <f t="shared" si="18"/>
        <v>1.0554810182986886E-3</v>
      </c>
      <c r="G83" s="241">
        <f t="shared" si="19"/>
        <v>0.1117339424204689</v>
      </c>
      <c r="H83" s="242">
        <f t="shared" si="20"/>
        <v>0.88826605757953114</v>
      </c>
      <c r="I83" s="157"/>
    </row>
    <row r="84" spans="1:9" ht="15.75" x14ac:dyDescent="0.25">
      <c r="A84" s="164"/>
      <c r="B84" s="165">
        <f>DATE(19,9,1)</f>
        <v>7184</v>
      </c>
      <c r="C84" s="226">
        <v>43078381.07</v>
      </c>
      <c r="D84" s="226">
        <v>4757922.75</v>
      </c>
      <c r="E84" s="226">
        <v>5027629.3</v>
      </c>
      <c r="F84" s="166">
        <f t="shared" si="18"/>
        <v>-5.3644875925915984E-2</v>
      </c>
      <c r="G84" s="241">
        <f t="shared" si="19"/>
        <v>0.11044803987105822</v>
      </c>
      <c r="H84" s="242">
        <f t="shared" si="20"/>
        <v>0.88955196012894178</v>
      </c>
      <c r="I84" s="157"/>
    </row>
    <row r="85" spans="1:9" ht="15.75" x14ac:dyDescent="0.25">
      <c r="A85" s="164"/>
      <c r="B85" s="165">
        <f>DATE(19,10,1)</f>
        <v>7214</v>
      </c>
      <c r="C85" s="226">
        <v>45559884.780000001</v>
      </c>
      <c r="D85" s="226">
        <v>5100767.21</v>
      </c>
      <c r="E85" s="226">
        <v>5016135.3</v>
      </c>
      <c r="F85" s="166">
        <f t="shared" si="18"/>
        <v>1.6871935252623697E-2</v>
      </c>
      <c r="G85" s="241">
        <f t="shared" si="19"/>
        <v>0.11195742119697256</v>
      </c>
      <c r="H85" s="242">
        <f t="shared" si="20"/>
        <v>0.88804257880302739</v>
      </c>
      <c r="I85" s="157"/>
    </row>
    <row r="86" spans="1:9" ht="15.75" x14ac:dyDescent="0.25">
      <c r="A86" s="164"/>
      <c r="B86" s="165">
        <f>DATE(19,11,1)</f>
        <v>7245</v>
      </c>
      <c r="C86" s="226">
        <v>45568371.520000003</v>
      </c>
      <c r="D86" s="226">
        <v>5049815.8600000003</v>
      </c>
      <c r="E86" s="226">
        <v>4899996.9800000004</v>
      </c>
      <c r="F86" s="166">
        <f t="shared" si="18"/>
        <v>3.0575300477021901E-2</v>
      </c>
      <c r="G86" s="241">
        <f t="shared" si="19"/>
        <v>0.11081844032507572</v>
      </c>
      <c r="H86" s="242">
        <f t="shared" si="20"/>
        <v>0.88918155967492429</v>
      </c>
      <c r="I86" s="157"/>
    </row>
    <row r="87" spans="1:9" ht="15.75" x14ac:dyDescent="0.25">
      <c r="A87" s="164"/>
      <c r="B87" s="165">
        <f>DATE(19,12,1)</f>
        <v>7275</v>
      </c>
      <c r="C87" s="226">
        <v>45369161.390000001</v>
      </c>
      <c r="D87" s="226">
        <v>5055651.33</v>
      </c>
      <c r="E87" s="226">
        <v>5247804.62</v>
      </c>
      <c r="F87" s="166">
        <f t="shared" si="18"/>
        <v>-3.6615938266390723E-2</v>
      </c>
      <c r="G87" s="241">
        <f t="shared" si="19"/>
        <v>0.11143365173847662</v>
      </c>
      <c r="H87" s="242">
        <f t="shared" si="20"/>
        <v>0.88856634826152336</v>
      </c>
      <c r="I87" s="157"/>
    </row>
    <row r="88" spans="1:9" ht="15.75" x14ac:dyDescent="0.25">
      <c r="A88" s="164"/>
      <c r="B88" s="165">
        <f>DATE(20,1,1)</f>
        <v>7306</v>
      </c>
      <c r="C88" s="226">
        <v>43113578.409999996</v>
      </c>
      <c r="D88" s="226">
        <v>4906027.53</v>
      </c>
      <c r="E88" s="226">
        <v>4473121.8099999996</v>
      </c>
      <c r="F88" s="166">
        <f t="shared" si="18"/>
        <v>9.6779327366450743E-2</v>
      </c>
      <c r="G88" s="241">
        <f t="shared" si="19"/>
        <v>0.11379309514382759</v>
      </c>
      <c r="H88" s="242">
        <f t="shared" si="20"/>
        <v>0.88620690485617237</v>
      </c>
      <c r="I88" s="157"/>
    </row>
    <row r="89" spans="1:9" ht="15.75" x14ac:dyDescent="0.25">
      <c r="A89" s="164"/>
      <c r="B89" s="165">
        <f>DATE(20,2,1)</f>
        <v>7337</v>
      </c>
      <c r="C89" s="226">
        <v>49276068.969999999</v>
      </c>
      <c r="D89" s="226">
        <v>5504597.8499999996</v>
      </c>
      <c r="E89" s="226">
        <v>4898275.7699999996</v>
      </c>
      <c r="F89" s="166">
        <f t="shared" si="18"/>
        <v>0.12378275713129155</v>
      </c>
      <c r="G89" s="241">
        <f t="shared" si="19"/>
        <v>0.11170935435923836</v>
      </c>
      <c r="H89" s="242">
        <f t="shared" si="20"/>
        <v>0.88829064564076166</v>
      </c>
      <c r="I89" s="157"/>
    </row>
    <row r="90" spans="1:9" ht="15.75" x14ac:dyDescent="0.25">
      <c r="A90" s="164"/>
      <c r="B90" s="165">
        <f>DATE(20,3,1)</f>
        <v>7366</v>
      </c>
      <c r="C90" s="226">
        <v>27707352.309999999</v>
      </c>
      <c r="D90" s="226">
        <v>3138293.15</v>
      </c>
      <c r="E90" s="226">
        <v>6230289</v>
      </c>
      <c r="F90" s="166">
        <f t="shared" si="18"/>
        <v>-0.49628449819904025</v>
      </c>
      <c r="G90" s="241">
        <f t="shared" si="19"/>
        <v>0.11326571788194077</v>
      </c>
      <c r="H90" s="242">
        <f t="shared" si="20"/>
        <v>0.88673428211805927</v>
      </c>
      <c r="I90" s="157"/>
    </row>
    <row r="91" spans="1:9" ht="15.75" thickBot="1" x14ac:dyDescent="0.25">
      <c r="A91" s="167"/>
      <c r="B91" s="165"/>
      <c r="C91" s="226"/>
      <c r="D91" s="226"/>
      <c r="E91" s="226"/>
      <c r="F91" s="166"/>
      <c r="G91" s="241"/>
      <c r="H91" s="242"/>
      <c r="I91" s="157"/>
    </row>
    <row r="92" spans="1:9" ht="17.25" thickTop="1" thickBot="1" x14ac:dyDescent="0.3">
      <c r="A92" s="174" t="s">
        <v>14</v>
      </c>
      <c r="B92" s="175"/>
      <c r="C92" s="228">
        <f>SUM(C82:C91)</f>
        <v>392540112.19</v>
      </c>
      <c r="D92" s="230">
        <f>SUM(D82:D91)</f>
        <v>43798213.880000003</v>
      </c>
      <c r="E92" s="271">
        <f>SUM(E82:E91)</f>
        <v>46466016.909999996</v>
      </c>
      <c r="F92" s="272">
        <f>(+D92-E92)/E92</f>
        <v>-5.7414067471443918E-2</v>
      </c>
      <c r="G92" s="249">
        <f>D92/C92</f>
        <v>0.11157640332766931</v>
      </c>
      <c r="H92" s="270">
        <f>1-G92</f>
        <v>0.88842359667233073</v>
      </c>
      <c r="I92" s="157"/>
    </row>
    <row r="93" spans="1:9" ht="15.75" thickTop="1" x14ac:dyDescent="0.2">
      <c r="A93" s="167"/>
      <c r="B93" s="168"/>
      <c r="C93" s="226"/>
      <c r="D93" s="226"/>
      <c r="E93" s="226"/>
      <c r="F93" s="166"/>
      <c r="G93" s="241"/>
      <c r="H93" s="242"/>
      <c r="I93" s="157"/>
    </row>
    <row r="94" spans="1:9" ht="15.75" x14ac:dyDescent="0.25">
      <c r="A94" s="164" t="s">
        <v>67</v>
      </c>
      <c r="B94" s="165">
        <f>DATE(19,7,1)</f>
        <v>7122</v>
      </c>
      <c r="C94" s="226">
        <v>108871593.48999999</v>
      </c>
      <c r="D94" s="226">
        <v>10859844.9</v>
      </c>
      <c r="E94" s="226">
        <v>11368416.640000001</v>
      </c>
      <c r="F94" s="166">
        <f t="shared" ref="F94:F102" si="21">(+D94-E94)/E94</f>
        <v>-4.4735494493628992E-2</v>
      </c>
      <c r="G94" s="241">
        <f t="shared" ref="G94:G102" si="22">D94/C94</f>
        <v>9.9749113169703835E-2</v>
      </c>
      <c r="H94" s="242">
        <f t="shared" ref="H94:H102" si="23">1-G94</f>
        <v>0.90025088683029619</v>
      </c>
      <c r="I94" s="157"/>
    </row>
    <row r="95" spans="1:9" ht="15.75" x14ac:dyDescent="0.25">
      <c r="A95" s="164"/>
      <c r="B95" s="165">
        <f>DATE(19,8,1)</f>
        <v>7153</v>
      </c>
      <c r="C95" s="226">
        <v>110085881.98999999</v>
      </c>
      <c r="D95" s="226">
        <v>10606265.73</v>
      </c>
      <c r="E95" s="226">
        <v>11900739.720000001</v>
      </c>
      <c r="F95" s="166">
        <f t="shared" si="21"/>
        <v>-0.10877256544183962</v>
      </c>
      <c r="G95" s="241">
        <f t="shared" si="22"/>
        <v>9.6345376339569633E-2</v>
      </c>
      <c r="H95" s="242">
        <f t="shared" si="23"/>
        <v>0.90365462366043037</v>
      </c>
      <c r="I95" s="157"/>
    </row>
    <row r="96" spans="1:9" ht="15.75" x14ac:dyDescent="0.25">
      <c r="A96" s="164"/>
      <c r="B96" s="165">
        <f>DATE(19,9,1)</f>
        <v>7184</v>
      </c>
      <c r="C96" s="226">
        <v>102382579.39</v>
      </c>
      <c r="D96" s="226">
        <v>10294221.539999999</v>
      </c>
      <c r="E96" s="226">
        <v>10737435.65</v>
      </c>
      <c r="F96" s="166">
        <f t="shared" si="21"/>
        <v>-4.1277463674485558E-2</v>
      </c>
      <c r="G96" s="241">
        <f t="shared" si="22"/>
        <v>0.10054661253245847</v>
      </c>
      <c r="H96" s="242">
        <f t="shared" si="23"/>
        <v>0.89945338746754155</v>
      </c>
      <c r="I96" s="157"/>
    </row>
    <row r="97" spans="1:9" ht="15.75" x14ac:dyDescent="0.25">
      <c r="A97" s="164"/>
      <c r="B97" s="165">
        <f>DATE(19,10,1)</f>
        <v>7214</v>
      </c>
      <c r="C97" s="226">
        <v>100553757.09</v>
      </c>
      <c r="D97" s="226">
        <v>9880729.3699999992</v>
      </c>
      <c r="E97" s="226">
        <v>10634805.060000001</v>
      </c>
      <c r="F97" s="166">
        <f t="shared" si="21"/>
        <v>-7.0906395156809895E-2</v>
      </c>
      <c r="G97" s="241">
        <f t="shared" si="22"/>
        <v>9.8263154515015438E-2</v>
      </c>
      <c r="H97" s="242">
        <f t="shared" si="23"/>
        <v>0.90173684548498456</v>
      </c>
      <c r="I97" s="157"/>
    </row>
    <row r="98" spans="1:9" ht="15.75" x14ac:dyDescent="0.25">
      <c r="A98" s="164"/>
      <c r="B98" s="165">
        <f>DATE(19,11,1)</f>
        <v>7245</v>
      </c>
      <c r="C98" s="226">
        <v>101636027.59</v>
      </c>
      <c r="D98" s="226">
        <v>10205648.99</v>
      </c>
      <c r="E98" s="226">
        <v>10364939.92</v>
      </c>
      <c r="F98" s="166">
        <f t="shared" si="21"/>
        <v>-1.5368244411396425E-2</v>
      </c>
      <c r="G98" s="241">
        <f t="shared" si="22"/>
        <v>0.10041369415941377</v>
      </c>
      <c r="H98" s="242">
        <f t="shared" si="23"/>
        <v>0.89958630584058619</v>
      </c>
      <c r="I98" s="157"/>
    </row>
    <row r="99" spans="1:9" ht="15.75" x14ac:dyDescent="0.25">
      <c r="A99" s="164"/>
      <c r="B99" s="165">
        <f>DATE(19,12,1)</f>
        <v>7275</v>
      </c>
      <c r="C99" s="226">
        <v>109465965.75</v>
      </c>
      <c r="D99" s="226">
        <v>10750579.369999999</v>
      </c>
      <c r="E99" s="226">
        <v>11597435.08</v>
      </c>
      <c r="F99" s="166">
        <f t="shared" si="21"/>
        <v>-7.3020948525111373E-2</v>
      </c>
      <c r="G99" s="241">
        <f t="shared" si="22"/>
        <v>9.8209331972207076E-2</v>
      </c>
      <c r="H99" s="242">
        <f t="shared" si="23"/>
        <v>0.90179066802779295</v>
      </c>
      <c r="I99" s="157"/>
    </row>
    <row r="100" spans="1:9" ht="15.75" x14ac:dyDescent="0.25">
      <c r="A100" s="164"/>
      <c r="B100" s="165">
        <f>DATE(20,1,1)</f>
        <v>7306</v>
      </c>
      <c r="C100" s="226">
        <v>105338022.19</v>
      </c>
      <c r="D100" s="226">
        <v>10353140.800000001</v>
      </c>
      <c r="E100" s="226">
        <v>9957126.1699999999</v>
      </c>
      <c r="F100" s="166">
        <f t="shared" si="21"/>
        <v>3.9771980713989567E-2</v>
      </c>
      <c r="G100" s="241">
        <f t="shared" si="22"/>
        <v>9.8284936291340871E-2</v>
      </c>
      <c r="H100" s="242">
        <f t="shared" si="23"/>
        <v>0.90171506370865917</v>
      </c>
      <c r="I100" s="157"/>
    </row>
    <row r="101" spans="1:9" ht="15.75" x14ac:dyDescent="0.25">
      <c r="A101" s="164"/>
      <c r="B101" s="165">
        <f>DATE(20,2,1)</f>
        <v>7337</v>
      </c>
      <c r="C101" s="226">
        <v>116937099.90000001</v>
      </c>
      <c r="D101" s="226">
        <v>11744098.83</v>
      </c>
      <c r="E101" s="226">
        <v>10422099.199999999</v>
      </c>
      <c r="F101" s="166">
        <f t="shared" si="21"/>
        <v>0.12684581144650792</v>
      </c>
      <c r="G101" s="241">
        <f t="shared" si="22"/>
        <v>0.10043090550426759</v>
      </c>
      <c r="H101" s="242">
        <f t="shared" si="23"/>
        <v>0.89956909449573241</v>
      </c>
      <c r="I101" s="157"/>
    </row>
    <row r="102" spans="1:9" ht="15.75" x14ac:dyDescent="0.25">
      <c r="A102" s="164"/>
      <c r="B102" s="165">
        <f>DATE(20,3,1)</f>
        <v>7366</v>
      </c>
      <c r="C102" s="226">
        <v>62451920.469999999</v>
      </c>
      <c r="D102" s="226">
        <v>6268399.54</v>
      </c>
      <c r="E102" s="226">
        <v>13240355.48</v>
      </c>
      <c r="F102" s="166">
        <f t="shared" si="21"/>
        <v>-0.52656863711335944</v>
      </c>
      <c r="G102" s="241">
        <f t="shared" si="22"/>
        <v>0.10037160575408002</v>
      </c>
      <c r="H102" s="242">
        <f t="shared" si="23"/>
        <v>0.89962839424592</v>
      </c>
      <c r="I102" s="157"/>
    </row>
    <row r="103" spans="1:9" ht="15.75" thickBot="1" x14ac:dyDescent="0.25">
      <c r="A103" s="167"/>
      <c r="B103" s="165"/>
      <c r="C103" s="226"/>
      <c r="D103" s="226"/>
      <c r="E103" s="226"/>
      <c r="F103" s="166"/>
      <c r="G103" s="241"/>
      <c r="H103" s="242"/>
      <c r="I103" s="157"/>
    </row>
    <row r="104" spans="1:9" ht="17.25" thickTop="1" thickBot="1" x14ac:dyDescent="0.3">
      <c r="A104" s="174" t="s">
        <v>14</v>
      </c>
      <c r="B104" s="175"/>
      <c r="C104" s="228">
        <f>SUM(C94:C103)</f>
        <v>917722847.86000001</v>
      </c>
      <c r="D104" s="230">
        <f>SUM(D94:D103)</f>
        <v>90962929.070000008</v>
      </c>
      <c r="E104" s="271">
        <f>SUM(E94:E103)</f>
        <v>100223352.92</v>
      </c>
      <c r="F104" s="176">
        <f>(+D104-E104)/E104</f>
        <v>-9.2397865170124799E-2</v>
      </c>
      <c r="G104" s="249">
        <f>D104/C104</f>
        <v>9.9118082634765722E-2</v>
      </c>
      <c r="H104" s="270">
        <f>1-G104</f>
        <v>0.90088191736523426</v>
      </c>
      <c r="I104" s="157"/>
    </row>
    <row r="105" spans="1:9" ht="15.75" thickTop="1" x14ac:dyDescent="0.2">
      <c r="A105" s="167"/>
      <c r="B105" s="179"/>
      <c r="C105" s="229"/>
      <c r="D105" s="229"/>
      <c r="E105" s="229"/>
      <c r="F105" s="180"/>
      <c r="G105" s="247"/>
      <c r="H105" s="248"/>
      <c r="I105" s="157"/>
    </row>
    <row r="106" spans="1:9" ht="15.75" x14ac:dyDescent="0.25">
      <c r="A106" s="164" t="s">
        <v>18</v>
      </c>
      <c r="B106" s="165">
        <f>DATE(19,7,1)</f>
        <v>7122</v>
      </c>
      <c r="C106" s="226">
        <v>139620069.69</v>
      </c>
      <c r="D106" s="226">
        <v>13562944.539999999</v>
      </c>
      <c r="E106" s="226">
        <v>14899456.869999999</v>
      </c>
      <c r="F106" s="166">
        <f t="shared" ref="F106:F114" si="24">(+D106-E106)/E106</f>
        <v>-8.9702083885424222E-2</v>
      </c>
      <c r="G106" s="241">
        <f t="shared" ref="G106:G114" si="25">D106/C106</f>
        <v>9.714179752319245E-2</v>
      </c>
      <c r="H106" s="242">
        <f t="shared" ref="H106:H114" si="26">1-G106</f>
        <v>0.90285820247680759</v>
      </c>
      <c r="I106" s="157"/>
    </row>
    <row r="107" spans="1:9" ht="15.75" x14ac:dyDescent="0.25">
      <c r="A107" s="164"/>
      <c r="B107" s="165">
        <f>DATE(19,8,1)</f>
        <v>7153</v>
      </c>
      <c r="C107" s="226">
        <v>145301923.24000001</v>
      </c>
      <c r="D107" s="226">
        <v>13870661.279999999</v>
      </c>
      <c r="E107" s="226">
        <v>14829432.529999999</v>
      </c>
      <c r="F107" s="166">
        <f t="shared" si="24"/>
        <v>-6.465326627033112E-2</v>
      </c>
      <c r="G107" s="241">
        <f t="shared" si="25"/>
        <v>9.5460961360362501E-2</v>
      </c>
      <c r="H107" s="242">
        <f t="shared" si="26"/>
        <v>0.90453903863963747</v>
      </c>
      <c r="I107" s="157"/>
    </row>
    <row r="108" spans="1:9" ht="15.75" x14ac:dyDescent="0.25">
      <c r="A108" s="164"/>
      <c r="B108" s="165">
        <f>DATE(19,9,1)</f>
        <v>7184</v>
      </c>
      <c r="C108" s="226">
        <v>133117656.17</v>
      </c>
      <c r="D108" s="226">
        <v>12786419.43</v>
      </c>
      <c r="E108" s="226">
        <v>13962276.199999999</v>
      </c>
      <c r="F108" s="166">
        <f t="shared" si="24"/>
        <v>-8.4216695985429621E-2</v>
      </c>
      <c r="G108" s="241">
        <f t="shared" si="25"/>
        <v>9.6053519855179098E-2</v>
      </c>
      <c r="H108" s="242">
        <f t="shared" si="26"/>
        <v>0.90394648014482093</v>
      </c>
      <c r="I108" s="157"/>
    </row>
    <row r="109" spans="1:9" ht="15.75" x14ac:dyDescent="0.25">
      <c r="A109" s="164"/>
      <c r="B109" s="165">
        <f>DATE(19,10,1)</f>
        <v>7214</v>
      </c>
      <c r="C109" s="226">
        <v>141018208.87</v>
      </c>
      <c r="D109" s="226">
        <v>13251508.66</v>
      </c>
      <c r="E109" s="226">
        <v>13179828.550000001</v>
      </c>
      <c r="F109" s="166">
        <f t="shared" si="24"/>
        <v>5.4386223408042283E-3</v>
      </c>
      <c r="G109" s="241">
        <f t="shared" si="25"/>
        <v>9.3970195524296612E-2</v>
      </c>
      <c r="H109" s="242">
        <f t="shared" si="26"/>
        <v>0.90602980447570336</v>
      </c>
      <c r="I109" s="157"/>
    </row>
    <row r="110" spans="1:9" ht="15.75" x14ac:dyDescent="0.25">
      <c r="A110" s="164"/>
      <c r="B110" s="165">
        <f>DATE(19,11,1)</f>
        <v>7245</v>
      </c>
      <c r="C110" s="226">
        <v>143268625.12</v>
      </c>
      <c r="D110" s="226">
        <v>13769145.800000001</v>
      </c>
      <c r="E110" s="226">
        <v>12404366.57</v>
      </c>
      <c r="F110" s="166">
        <f t="shared" si="24"/>
        <v>0.11002409694185621</v>
      </c>
      <c r="G110" s="241">
        <f t="shared" si="25"/>
        <v>9.610719575529629E-2</v>
      </c>
      <c r="H110" s="242">
        <f t="shared" si="26"/>
        <v>0.90389280424470375</v>
      </c>
      <c r="I110" s="157"/>
    </row>
    <row r="111" spans="1:9" ht="15.75" x14ac:dyDescent="0.25">
      <c r="A111" s="164"/>
      <c r="B111" s="165">
        <f>DATE(19,12,1)</f>
        <v>7275</v>
      </c>
      <c r="C111" s="226">
        <v>148416907.90000001</v>
      </c>
      <c r="D111" s="226">
        <v>13980639.65</v>
      </c>
      <c r="E111" s="226">
        <v>14279714.560000001</v>
      </c>
      <c r="F111" s="166">
        <f t="shared" si="24"/>
        <v>-2.0944039794588174E-2</v>
      </c>
      <c r="G111" s="241">
        <f t="shared" si="25"/>
        <v>9.4198429598195396E-2</v>
      </c>
      <c r="H111" s="242">
        <f t="shared" si="26"/>
        <v>0.90580157040180465</v>
      </c>
      <c r="I111" s="157"/>
    </row>
    <row r="112" spans="1:9" ht="15.75" x14ac:dyDescent="0.25">
      <c r="A112" s="164"/>
      <c r="B112" s="165">
        <f>DATE(20,1,1)</f>
        <v>7306</v>
      </c>
      <c r="C112" s="226">
        <v>130743401.33</v>
      </c>
      <c r="D112" s="226">
        <v>12433682.390000001</v>
      </c>
      <c r="E112" s="226">
        <v>12070419.859999999</v>
      </c>
      <c r="F112" s="166">
        <f t="shared" si="24"/>
        <v>3.00952687821417E-2</v>
      </c>
      <c r="G112" s="241">
        <f t="shared" si="25"/>
        <v>9.5099884686471015E-2</v>
      </c>
      <c r="H112" s="242">
        <f t="shared" si="26"/>
        <v>0.90490011531352899</v>
      </c>
      <c r="I112" s="157"/>
    </row>
    <row r="113" spans="1:9" ht="15.75" x14ac:dyDescent="0.25">
      <c r="A113" s="164"/>
      <c r="B113" s="165">
        <f>DATE(20,2,1)</f>
        <v>7337</v>
      </c>
      <c r="C113" s="226">
        <v>147966898.25</v>
      </c>
      <c r="D113" s="226">
        <v>14388741.640000001</v>
      </c>
      <c r="E113" s="226">
        <v>12585263.32</v>
      </c>
      <c r="F113" s="166">
        <f t="shared" si="24"/>
        <v>0.14330080143289367</v>
      </c>
      <c r="G113" s="241">
        <f t="shared" si="25"/>
        <v>9.7242976707460987E-2</v>
      </c>
      <c r="H113" s="242">
        <f t="shared" si="26"/>
        <v>0.90275702329253904</v>
      </c>
      <c r="I113" s="157"/>
    </row>
    <row r="114" spans="1:9" ht="15.75" x14ac:dyDescent="0.25">
      <c r="A114" s="164"/>
      <c r="B114" s="165">
        <f>DATE(20,3,1)</f>
        <v>7366</v>
      </c>
      <c r="C114" s="226">
        <v>72434334.439999998</v>
      </c>
      <c r="D114" s="226">
        <v>7191924.8700000001</v>
      </c>
      <c r="E114" s="226">
        <v>15794237.699999999</v>
      </c>
      <c r="F114" s="166">
        <f t="shared" si="24"/>
        <v>-0.54464881391521658</v>
      </c>
      <c r="G114" s="241">
        <f t="shared" si="25"/>
        <v>9.9288892837930798E-2</v>
      </c>
      <c r="H114" s="242">
        <f t="shared" si="26"/>
        <v>0.90071110716206926</v>
      </c>
      <c r="I114" s="157"/>
    </row>
    <row r="115" spans="1:9" ht="15.75" customHeight="1" thickBot="1" x14ac:dyDescent="0.3">
      <c r="A115" s="164"/>
      <c r="B115" s="165"/>
      <c r="C115" s="226"/>
      <c r="D115" s="226"/>
      <c r="E115" s="226"/>
      <c r="F115" s="166"/>
      <c r="G115" s="241"/>
      <c r="H115" s="242"/>
      <c r="I115" s="157"/>
    </row>
    <row r="116" spans="1:9" ht="17.25" thickTop="1" thickBot="1" x14ac:dyDescent="0.3">
      <c r="A116" s="174" t="s">
        <v>14</v>
      </c>
      <c r="B116" s="181"/>
      <c r="C116" s="228">
        <f>SUM(C106:C115)</f>
        <v>1201888025.0100002</v>
      </c>
      <c r="D116" s="228">
        <f>SUM(D106:D115)</f>
        <v>115235668.26000001</v>
      </c>
      <c r="E116" s="228">
        <f>SUM(E106:E115)</f>
        <v>124004996.16000001</v>
      </c>
      <c r="F116" s="176">
        <f>(+D116-E116)/E116</f>
        <v>-7.0717536966697692E-2</v>
      </c>
      <c r="G116" s="245">
        <f>D116/C116</f>
        <v>9.5878872126245865E-2</v>
      </c>
      <c r="H116" s="246">
        <f>1-G116</f>
        <v>0.90412112787375409</v>
      </c>
      <c r="I116" s="157"/>
    </row>
    <row r="117" spans="1:9" ht="15.75" thickTop="1" x14ac:dyDescent="0.2">
      <c r="A117" s="171"/>
      <c r="B117" s="172"/>
      <c r="C117" s="227"/>
      <c r="D117" s="227"/>
      <c r="E117" s="227"/>
      <c r="F117" s="173"/>
      <c r="G117" s="243"/>
      <c r="H117" s="244"/>
      <c r="I117" s="157"/>
    </row>
    <row r="118" spans="1:9" ht="15.75" x14ac:dyDescent="0.25">
      <c r="A118" s="164" t="s">
        <v>58</v>
      </c>
      <c r="B118" s="165">
        <f>DATE(19,7,1)</f>
        <v>7122</v>
      </c>
      <c r="C118" s="226">
        <v>172895652.09999999</v>
      </c>
      <c r="D118" s="226">
        <v>16249508.9</v>
      </c>
      <c r="E118" s="226">
        <v>16699225.800000001</v>
      </c>
      <c r="F118" s="166">
        <f t="shared" ref="F118:F126" si="27">(+D118-E118)/E118</f>
        <v>-2.6930404162808574E-2</v>
      </c>
      <c r="G118" s="241">
        <f t="shared" ref="G118:G126" si="28">D118/C118</f>
        <v>9.3984485454854313E-2</v>
      </c>
      <c r="H118" s="242">
        <f t="shared" ref="H118:H126" si="29">1-G118</f>
        <v>0.90601551454514573</v>
      </c>
      <c r="I118" s="157"/>
    </row>
    <row r="119" spans="1:9" ht="15.75" x14ac:dyDescent="0.25">
      <c r="A119" s="164"/>
      <c r="B119" s="165">
        <f>DATE(19,8,1)</f>
        <v>7153</v>
      </c>
      <c r="C119" s="226">
        <v>180380059.75</v>
      </c>
      <c r="D119" s="226">
        <v>16871517.800000001</v>
      </c>
      <c r="E119" s="226">
        <v>16622760.619999999</v>
      </c>
      <c r="F119" s="166">
        <f t="shared" si="27"/>
        <v>1.4964853653773038E-2</v>
      </c>
      <c r="G119" s="241">
        <f t="shared" si="28"/>
        <v>9.3533164493809856E-2</v>
      </c>
      <c r="H119" s="242">
        <f t="shared" si="29"/>
        <v>0.90646683550619012</v>
      </c>
      <c r="I119" s="157"/>
    </row>
    <row r="120" spans="1:9" ht="15.75" x14ac:dyDescent="0.25">
      <c r="A120" s="164"/>
      <c r="B120" s="165">
        <f>DATE(19,9,1)</f>
        <v>7184</v>
      </c>
      <c r="C120" s="226">
        <v>169452200.19999999</v>
      </c>
      <c r="D120" s="226">
        <v>15944541.300000001</v>
      </c>
      <c r="E120" s="226">
        <v>16260476.050000001</v>
      </c>
      <c r="F120" s="166">
        <f t="shared" si="27"/>
        <v>-1.9429612578901096E-2</v>
      </c>
      <c r="G120" s="241">
        <f t="shared" si="28"/>
        <v>9.4094625393952261E-2</v>
      </c>
      <c r="H120" s="242">
        <f t="shared" si="29"/>
        <v>0.9059053746060477</v>
      </c>
      <c r="I120" s="157"/>
    </row>
    <row r="121" spans="1:9" ht="15.75" x14ac:dyDescent="0.25">
      <c r="A121" s="164"/>
      <c r="B121" s="165">
        <f>DATE(19,10,1)</f>
        <v>7214</v>
      </c>
      <c r="C121" s="226">
        <v>171753334.46000001</v>
      </c>
      <c r="D121" s="226">
        <v>16080736.01</v>
      </c>
      <c r="E121" s="226">
        <v>15649969.25</v>
      </c>
      <c r="F121" s="166">
        <f t="shared" si="27"/>
        <v>2.7525086670697439E-2</v>
      </c>
      <c r="G121" s="241">
        <f t="shared" si="28"/>
        <v>9.3626921774523544E-2</v>
      </c>
      <c r="H121" s="242">
        <f t="shared" si="29"/>
        <v>0.90637307822547641</v>
      </c>
      <c r="I121" s="157"/>
    </row>
    <row r="122" spans="1:9" ht="15.75" x14ac:dyDescent="0.25">
      <c r="A122" s="164"/>
      <c r="B122" s="165">
        <f>DATE(19,11,1)</f>
        <v>7245</v>
      </c>
      <c r="C122" s="226">
        <v>179944712.21000001</v>
      </c>
      <c r="D122" s="226">
        <v>17058482.91</v>
      </c>
      <c r="E122" s="226">
        <v>15252914.51</v>
      </c>
      <c r="F122" s="166">
        <f t="shared" si="27"/>
        <v>0.1183753045240139</v>
      </c>
      <c r="G122" s="241">
        <f t="shared" si="28"/>
        <v>9.4798467265280462E-2</v>
      </c>
      <c r="H122" s="242">
        <f t="shared" si="29"/>
        <v>0.90520153273471959</v>
      </c>
      <c r="I122" s="157"/>
    </row>
    <row r="123" spans="1:9" ht="15.75" x14ac:dyDescent="0.25">
      <c r="A123" s="164"/>
      <c r="B123" s="165">
        <f>DATE(19,12,1)</f>
        <v>7275</v>
      </c>
      <c r="C123" s="226">
        <v>179257574.59</v>
      </c>
      <c r="D123" s="226">
        <v>16970606.43</v>
      </c>
      <c r="E123" s="226">
        <v>17347128.27</v>
      </c>
      <c r="F123" s="166">
        <f t="shared" si="27"/>
        <v>-2.1705139556220037E-2</v>
      </c>
      <c r="G123" s="241">
        <f t="shared" si="28"/>
        <v>9.4671628068244071E-2</v>
      </c>
      <c r="H123" s="242">
        <f t="shared" si="29"/>
        <v>0.90532837193175597</v>
      </c>
      <c r="I123" s="157"/>
    </row>
    <row r="124" spans="1:9" ht="15.75" x14ac:dyDescent="0.25">
      <c r="A124" s="164"/>
      <c r="B124" s="165">
        <f>DATE(20,1,1)</f>
        <v>7306</v>
      </c>
      <c r="C124" s="226">
        <v>173290650.84999999</v>
      </c>
      <c r="D124" s="226">
        <v>16027792.039999999</v>
      </c>
      <c r="E124" s="226">
        <v>13808864.720000001</v>
      </c>
      <c r="F124" s="166">
        <f t="shared" si="27"/>
        <v>0.16068861307521001</v>
      </c>
      <c r="G124" s="241">
        <f t="shared" si="28"/>
        <v>9.2490806407517168E-2</v>
      </c>
      <c r="H124" s="242">
        <f t="shared" si="29"/>
        <v>0.90750919359248283</v>
      </c>
      <c r="I124" s="157"/>
    </row>
    <row r="125" spans="1:9" ht="15.75" x14ac:dyDescent="0.25">
      <c r="A125" s="164"/>
      <c r="B125" s="165">
        <f>DATE(20,2,1)</f>
        <v>7337</v>
      </c>
      <c r="C125" s="226">
        <v>182267872.56</v>
      </c>
      <c r="D125" s="226">
        <v>16606333.470000001</v>
      </c>
      <c r="E125" s="226">
        <v>14872520.16</v>
      </c>
      <c r="F125" s="166">
        <f t="shared" si="27"/>
        <v>0.11657831297906948</v>
      </c>
      <c r="G125" s="241">
        <f t="shared" si="28"/>
        <v>9.1109493059636337E-2</v>
      </c>
      <c r="H125" s="242">
        <f t="shared" si="29"/>
        <v>0.90889050694036366</v>
      </c>
      <c r="I125" s="157"/>
    </row>
    <row r="126" spans="1:9" ht="15.75" x14ac:dyDescent="0.25">
      <c r="A126" s="164"/>
      <c r="B126" s="165">
        <f>DATE(20,3,1)</f>
        <v>7366</v>
      </c>
      <c r="C126" s="226">
        <v>86650244.75</v>
      </c>
      <c r="D126" s="226">
        <v>8278891.3399999999</v>
      </c>
      <c r="E126" s="226">
        <v>18016167.010000002</v>
      </c>
      <c r="F126" s="166">
        <f t="shared" si="27"/>
        <v>-0.54047432312296273</v>
      </c>
      <c r="G126" s="241">
        <f t="shared" si="28"/>
        <v>9.5543773290957729E-2</v>
      </c>
      <c r="H126" s="242">
        <f t="shared" si="29"/>
        <v>0.90445622670904224</v>
      </c>
      <c r="I126" s="157"/>
    </row>
    <row r="127" spans="1:9" ht="15.75" thickBot="1" x14ac:dyDescent="0.25">
      <c r="A127" s="167"/>
      <c r="B127" s="168"/>
      <c r="C127" s="226"/>
      <c r="D127" s="226"/>
      <c r="E127" s="226"/>
      <c r="F127" s="166"/>
      <c r="G127" s="241"/>
      <c r="H127" s="242"/>
      <c r="I127" s="157"/>
    </row>
    <row r="128" spans="1:9" ht="17.25" thickTop="1" thickBot="1" x14ac:dyDescent="0.3">
      <c r="A128" s="174" t="s">
        <v>14</v>
      </c>
      <c r="B128" s="175"/>
      <c r="C128" s="228">
        <f>SUM(C118:C127)</f>
        <v>1495892301.47</v>
      </c>
      <c r="D128" s="228">
        <f>SUM(D118:D127)</f>
        <v>140088410.19999999</v>
      </c>
      <c r="E128" s="228">
        <f>SUM(E118:E127)</f>
        <v>144530026.38999999</v>
      </c>
      <c r="F128" s="176">
        <f>(+D128-E128)/E128</f>
        <v>-3.0731442461753487E-2</v>
      </c>
      <c r="G128" s="249">
        <f>D128/C128</f>
        <v>9.3648727292958422E-2</v>
      </c>
      <c r="H128" s="270">
        <f>1-G128</f>
        <v>0.90635127270704152</v>
      </c>
      <c r="I128" s="157"/>
    </row>
    <row r="129" spans="1:9" ht="15.75" thickTop="1" x14ac:dyDescent="0.2">
      <c r="A129" s="167"/>
      <c r="B129" s="168"/>
      <c r="C129" s="226"/>
      <c r="D129" s="226"/>
      <c r="E129" s="226"/>
      <c r="F129" s="166"/>
      <c r="G129" s="241"/>
      <c r="H129" s="242"/>
      <c r="I129" s="157"/>
    </row>
    <row r="130" spans="1:9" ht="15.75" x14ac:dyDescent="0.25">
      <c r="A130" s="164" t="s">
        <v>59</v>
      </c>
      <c r="B130" s="165">
        <f>DATE(19,7,1)</f>
        <v>7122</v>
      </c>
      <c r="C130" s="226">
        <v>23534671.399999999</v>
      </c>
      <c r="D130" s="226">
        <v>2612988.94</v>
      </c>
      <c r="E130" s="226">
        <v>2665233.29</v>
      </c>
      <c r="F130" s="166">
        <f t="shared" ref="F130:F138" si="30">(+D130-E130)/E130</f>
        <v>-1.9602167733692121E-2</v>
      </c>
      <c r="G130" s="241">
        <f t="shared" ref="G130:G138" si="31">D130/C130</f>
        <v>0.11102721153778251</v>
      </c>
      <c r="H130" s="242">
        <f t="shared" ref="H130:H138" si="32">1-G130</f>
        <v>0.8889727884622175</v>
      </c>
      <c r="I130" s="157"/>
    </row>
    <row r="131" spans="1:9" ht="15.75" x14ac:dyDescent="0.25">
      <c r="A131" s="164"/>
      <c r="B131" s="165">
        <f>DATE(19,8,1)</f>
        <v>7153</v>
      </c>
      <c r="C131" s="226">
        <v>25945368.859999999</v>
      </c>
      <c r="D131" s="226">
        <v>2826240.12</v>
      </c>
      <c r="E131" s="226">
        <v>2551392.61</v>
      </c>
      <c r="F131" s="166">
        <f t="shared" si="30"/>
        <v>0.10772450657838985</v>
      </c>
      <c r="G131" s="241">
        <f t="shared" si="31"/>
        <v>0.10893042743968143</v>
      </c>
      <c r="H131" s="242">
        <f t="shared" si="32"/>
        <v>0.8910695725603186</v>
      </c>
      <c r="I131" s="157"/>
    </row>
    <row r="132" spans="1:9" ht="15.75" x14ac:dyDescent="0.25">
      <c r="A132" s="164"/>
      <c r="B132" s="165">
        <f>DATE(19,9,1)</f>
        <v>7184</v>
      </c>
      <c r="C132" s="226">
        <v>23331556.440000001</v>
      </c>
      <c r="D132" s="226">
        <v>2549839.52</v>
      </c>
      <c r="E132" s="226">
        <v>2483855.77</v>
      </c>
      <c r="F132" s="166">
        <f t="shared" si="30"/>
        <v>2.6565048903785585E-2</v>
      </c>
      <c r="G132" s="241">
        <f t="shared" si="31"/>
        <v>0.10928715906961584</v>
      </c>
      <c r="H132" s="242">
        <f t="shared" si="32"/>
        <v>0.89071284093038416</v>
      </c>
      <c r="I132" s="157"/>
    </row>
    <row r="133" spans="1:9" ht="15.75" x14ac:dyDescent="0.25">
      <c r="A133" s="164"/>
      <c r="B133" s="165">
        <f>DATE(19,10,1)</f>
        <v>7214</v>
      </c>
      <c r="C133" s="226">
        <v>23351338.109999999</v>
      </c>
      <c r="D133" s="226">
        <v>2654170.6800000002</v>
      </c>
      <c r="E133" s="226">
        <v>2351894.38</v>
      </c>
      <c r="F133" s="166">
        <f t="shared" si="30"/>
        <v>0.12852460661945214</v>
      </c>
      <c r="G133" s="241">
        <f t="shared" si="31"/>
        <v>0.1136624662576992</v>
      </c>
      <c r="H133" s="242">
        <f t="shared" si="32"/>
        <v>0.88633753374230084</v>
      </c>
      <c r="I133" s="157"/>
    </row>
    <row r="134" spans="1:9" ht="15.75" x14ac:dyDescent="0.25">
      <c r="A134" s="164"/>
      <c r="B134" s="165">
        <f>DATE(19,11,1)</f>
        <v>7245</v>
      </c>
      <c r="C134" s="226">
        <v>24764224.170000002</v>
      </c>
      <c r="D134" s="226">
        <v>2750246.46</v>
      </c>
      <c r="E134" s="226">
        <v>2270138.19</v>
      </c>
      <c r="F134" s="166">
        <f t="shared" si="30"/>
        <v>0.21148856581281514</v>
      </c>
      <c r="G134" s="241">
        <f t="shared" si="31"/>
        <v>0.11105724294531774</v>
      </c>
      <c r="H134" s="242">
        <f t="shared" si="32"/>
        <v>0.88894275705468229</v>
      </c>
      <c r="I134" s="157"/>
    </row>
    <row r="135" spans="1:9" ht="15.75" x14ac:dyDescent="0.25">
      <c r="A135" s="164"/>
      <c r="B135" s="165">
        <f>DATE(19,12,1)</f>
        <v>7275</v>
      </c>
      <c r="C135" s="226">
        <v>24233154.100000001</v>
      </c>
      <c r="D135" s="226">
        <v>2678793.62</v>
      </c>
      <c r="E135" s="226">
        <v>2456280.23</v>
      </c>
      <c r="F135" s="166">
        <f t="shared" si="30"/>
        <v>9.0589578209486349E-2</v>
      </c>
      <c r="G135" s="241">
        <f t="shared" si="31"/>
        <v>0.11054250754754207</v>
      </c>
      <c r="H135" s="242">
        <f t="shared" si="32"/>
        <v>0.88945749245245798</v>
      </c>
      <c r="I135" s="157"/>
    </row>
    <row r="136" spans="1:9" ht="15.75" x14ac:dyDescent="0.25">
      <c r="A136" s="164"/>
      <c r="B136" s="165">
        <f>DATE(20,1,1)</f>
        <v>7306</v>
      </c>
      <c r="C136" s="226">
        <v>21836098.890000001</v>
      </c>
      <c r="D136" s="226">
        <v>2358042.2999999998</v>
      </c>
      <c r="E136" s="226">
        <v>1907536.47</v>
      </c>
      <c r="F136" s="166">
        <f t="shared" si="30"/>
        <v>0.23617154224055273</v>
      </c>
      <c r="G136" s="241">
        <f t="shared" si="31"/>
        <v>0.10798825888629229</v>
      </c>
      <c r="H136" s="242">
        <f t="shared" si="32"/>
        <v>0.89201174111370773</v>
      </c>
      <c r="I136" s="157"/>
    </row>
    <row r="137" spans="1:9" ht="15.75" x14ac:dyDescent="0.25">
      <c r="A137" s="164"/>
      <c r="B137" s="165">
        <f>DATE(20,2,1)</f>
        <v>7337</v>
      </c>
      <c r="C137" s="226">
        <v>25660297.420000002</v>
      </c>
      <c r="D137" s="226">
        <v>2851642.94</v>
      </c>
      <c r="E137" s="226">
        <v>2252695.42</v>
      </c>
      <c r="F137" s="166">
        <f t="shared" si="30"/>
        <v>0.26588038253302793</v>
      </c>
      <c r="G137" s="241">
        <f t="shared" si="31"/>
        <v>0.11113054900826631</v>
      </c>
      <c r="H137" s="242">
        <f t="shared" si="32"/>
        <v>0.88886945099173365</v>
      </c>
      <c r="I137" s="157"/>
    </row>
    <row r="138" spans="1:9" ht="15.75" x14ac:dyDescent="0.25">
      <c r="A138" s="164"/>
      <c r="B138" s="165">
        <f>DATE(20,3,1)</f>
        <v>7366</v>
      </c>
      <c r="C138" s="226">
        <v>14797939.09</v>
      </c>
      <c r="D138" s="226">
        <v>1714094.06</v>
      </c>
      <c r="E138" s="226">
        <v>2891984.6</v>
      </c>
      <c r="F138" s="166">
        <f t="shared" si="30"/>
        <v>-0.40729488670167885</v>
      </c>
      <c r="G138" s="241">
        <f t="shared" si="31"/>
        <v>0.11583329608096124</v>
      </c>
      <c r="H138" s="242">
        <f t="shared" si="32"/>
        <v>0.88416670391903873</v>
      </c>
      <c r="I138" s="157"/>
    </row>
    <row r="139" spans="1:9" ht="15.75" thickBot="1" x14ac:dyDescent="0.25">
      <c r="A139" s="167"/>
      <c r="B139" s="168"/>
      <c r="C139" s="226"/>
      <c r="D139" s="226"/>
      <c r="E139" s="226"/>
      <c r="F139" s="166"/>
      <c r="G139" s="241"/>
      <c r="H139" s="242"/>
      <c r="I139" s="157"/>
    </row>
    <row r="140" spans="1:9" ht="17.25" thickTop="1" thickBot="1" x14ac:dyDescent="0.3">
      <c r="A140" s="182" t="s">
        <v>14</v>
      </c>
      <c r="B140" s="183"/>
      <c r="C140" s="230">
        <f>SUM(C130:C139)</f>
        <v>207454648.48000005</v>
      </c>
      <c r="D140" s="230">
        <f>SUM(D130:D139)</f>
        <v>22996058.640000001</v>
      </c>
      <c r="E140" s="230">
        <f>SUM(E130:E139)</f>
        <v>21831010.960000001</v>
      </c>
      <c r="F140" s="176">
        <f>(+D140-E140)/E140</f>
        <v>5.3366638958436935E-2</v>
      </c>
      <c r="G140" s="249">
        <f>D140/C140</f>
        <v>0.11084860623027672</v>
      </c>
      <c r="H140" s="246">
        <f>1-G140</f>
        <v>0.8891513937697233</v>
      </c>
      <c r="I140" s="157"/>
    </row>
    <row r="141" spans="1:9" ht="15.75" thickTop="1" x14ac:dyDescent="0.2">
      <c r="A141" s="167"/>
      <c r="B141" s="168"/>
      <c r="C141" s="226"/>
      <c r="D141" s="226"/>
      <c r="E141" s="226"/>
      <c r="F141" s="166"/>
      <c r="G141" s="241"/>
      <c r="H141" s="242"/>
      <c r="I141" s="157"/>
    </row>
    <row r="142" spans="1:9" ht="15.75" x14ac:dyDescent="0.25">
      <c r="A142" s="164" t="s">
        <v>40</v>
      </c>
      <c r="B142" s="165">
        <f>DATE(19,7,1)</f>
        <v>7122</v>
      </c>
      <c r="C142" s="226">
        <v>209413515.11000001</v>
      </c>
      <c r="D142" s="226">
        <v>19119192.239999998</v>
      </c>
      <c r="E142" s="226">
        <v>19406302.420000002</v>
      </c>
      <c r="F142" s="166">
        <f t="shared" ref="F142:F150" si="33">(+D142-E142)/E142</f>
        <v>-1.4794687508533808E-2</v>
      </c>
      <c r="G142" s="241">
        <f t="shared" ref="G142:G150" si="34">D142/C142</f>
        <v>9.1298750369369117E-2</v>
      </c>
      <c r="H142" s="242">
        <f t="shared" ref="H142:H150" si="35">1-G142</f>
        <v>0.90870124963063093</v>
      </c>
      <c r="I142" s="157"/>
    </row>
    <row r="143" spans="1:9" ht="15.75" x14ac:dyDescent="0.25">
      <c r="A143" s="164"/>
      <c r="B143" s="165">
        <f>DATE(19,8,1)</f>
        <v>7153</v>
      </c>
      <c r="C143" s="226">
        <v>212666539.37</v>
      </c>
      <c r="D143" s="226">
        <v>19394509.940000001</v>
      </c>
      <c r="E143" s="226">
        <v>19632454.710000001</v>
      </c>
      <c r="F143" s="166">
        <f t="shared" si="33"/>
        <v>-1.2119970401806139E-2</v>
      </c>
      <c r="G143" s="241">
        <f t="shared" si="34"/>
        <v>9.119680979177068E-2</v>
      </c>
      <c r="H143" s="242">
        <f t="shared" si="35"/>
        <v>0.90880319020822931</v>
      </c>
      <c r="I143" s="157"/>
    </row>
    <row r="144" spans="1:9" ht="15.75" x14ac:dyDescent="0.25">
      <c r="A144" s="164"/>
      <c r="B144" s="165">
        <f>DATE(19,9,1)</f>
        <v>7184</v>
      </c>
      <c r="C144" s="226">
        <v>194172445.72</v>
      </c>
      <c r="D144" s="226">
        <v>17543226.640000001</v>
      </c>
      <c r="E144" s="226">
        <v>18357005.34</v>
      </c>
      <c r="F144" s="166">
        <f t="shared" si="33"/>
        <v>-4.4330689288779125E-2</v>
      </c>
      <c r="G144" s="241">
        <f t="shared" si="34"/>
        <v>9.0348692755807564E-2</v>
      </c>
      <c r="H144" s="242">
        <f t="shared" si="35"/>
        <v>0.90965130724419241</v>
      </c>
      <c r="I144" s="157"/>
    </row>
    <row r="145" spans="1:9" ht="15.75" x14ac:dyDescent="0.25">
      <c r="A145" s="164"/>
      <c r="B145" s="165">
        <f>DATE(19,10,1)</f>
        <v>7214</v>
      </c>
      <c r="C145" s="226">
        <v>194408213.02000001</v>
      </c>
      <c r="D145" s="226">
        <v>18312994.41</v>
      </c>
      <c r="E145" s="226">
        <v>17743741.07</v>
      </c>
      <c r="F145" s="166">
        <f t="shared" si="33"/>
        <v>3.2081923296460715E-2</v>
      </c>
      <c r="G145" s="241">
        <f t="shared" si="34"/>
        <v>9.4198666432451728E-2</v>
      </c>
      <c r="H145" s="242">
        <f t="shared" si="35"/>
        <v>0.90580133356754833</v>
      </c>
      <c r="I145" s="157"/>
    </row>
    <row r="146" spans="1:9" ht="15.75" x14ac:dyDescent="0.25">
      <c r="A146" s="164"/>
      <c r="B146" s="165">
        <f>DATE(19,11,1)</f>
        <v>7245</v>
      </c>
      <c r="C146" s="226">
        <v>194099111.36000001</v>
      </c>
      <c r="D146" s="226">
        <v>17726569.68</v>
      </c>
      <c r="E146" s="226">
        <v>17751037.91</v>
      </c>
      <c r="F146" s="166">
        <f t="shared" si="33"/>
        <v>-1.3784112300394748E-3</v>
      </c>
      <c r="G146" s="241">
        <f t="shared" si="34"/>
        <v>9.1327412865492882E-2</v>
      </c>
      <c r="H146" s="242">
        <f t="shared" si="35"/>
        <v>0.90867258713450716</v>
      </c>
      <c r="I146" s="157"/>
    </row>
    <row r="147" spans="1:9" ht="15.75" x14ac:dyDescent="0.25">
      <c r="A147" s="164"/>
      <c r="B147" s="165">
        <f>DATE(19,12,1)</f>
        <v>7275</v>
      </c>
      <c r="C147" s="226">
        <v>199823652.30000001</v>
      </c>
      <c r="D147" s="226">
        <v>17987460.18</v>
      </c>
      <c r="E147" s="226">
        <v>19880708.100000001</v>
      </c>
      <c r="F147" s="166">
        <f t="shared" si="33"/>
        <v>-9.5230406808296822E-2</v>
      </c>
      <c r="G147" s="241">
        <f t="shared" si="34"/>
        <v>9.0016672065401926E-2</v>
      </c>
      <c r="H147" s="242">
        <f t="shared" si="35"/>
        <v>0.90998332793459813</v>
      </c>
      <c r="I147" s="157"/>
    </row>
    <row r="148" spans="1:9" ht="15.75" x14ac:dyDescent="0.25">
      <c r="A148" s="164"/>
      <c r="B148" s="165">
        <f>DATE(20,1,1)</f>
        <v>7306</v>
      </c>
      <c r="C148" s="226">
        <v>191401212.25999999</v>
      </c>
      <c r="D148" s="226">
        <v>17177529.199999999</v>
      </c>
      <c r="E148" s="226">
        <v>15585305.41</v>
      </c>
      <c r="F148" s="166">
        <f t="shared" si="33"/>
        <v>0.10216186004147089</v>
      </c>
      <c r="G148" s="241">
        <f t="shared" si="34"/>
        <v>8.9746188110167199E-2</v>
      </c>
      <c r="H148" s="242">
        <f t="shared" si="35"/>
        <v>0.91025381188983279</v>
      </c>
      <c r="I148" s="157"/>
    </row>
    <row r="149" spans="1:9" ht="15.75" x14ac:dyDescent="0.25">
      <c r="A149" s="164"/>
      <c r="B149" s="165">
        <f>DATE(20,2,1)</f>
        <v>7337</v>
      </c>
      <c r="C149" s="226">
        <v>196849664.83000001</v>
      </c>
      <c r="D149" s="226">
        <v>17791352.699999999</v>
      </c>
      <c r="E149" s="226">
        <v>17148799.079999998</v>
      </c>
      <c r="F149" s="166">
        <f t="shared" si="33"/>
        <v>3.7469307151040521E-2</v>
      </c>
      <c r="G149" s="241">
        <f t="shared" si="34"/>
        <v>9.0380406364240787E-2</v>
      </c>
      <c r="H149" s="242">
        <f t="shared" si="35"/>
        <v>0.90961959363575917</v>
      </c>
      <c r="I149" s="157"/>
    </row>
    <row r="150" spans="1:9" ht="15.75" x14ac:dyDescent="0.25">
      <c r="A150" s="164"/>
      <c r="B150" s="165">
        <f>DATE(20,3,1)</f>
        <v>7366</v>
      </c>
      <c r="C150" s="226">
        <v>100240441.81999999</v>
      </c>
      <c r="D150" s="226">
        <v>9097434.8800000008</v>
      </c>
      <c r="E150" s="226">
        <v>20916752.149999999</v>
      </c>
      <c r="F150" s="166">
        <f t="shared" si="33"/>
        <v>-0.5650646517796023</v>
      </c>
      <c r="G150" s="241">
        <f t="shared" si="34"/>
        <v>9.0756133101808398E-2</v>
      </c>
      <c r="H150" s="242">
        <f t="shared" si="35"/>
        <v>0.90924386689819159</v>
      </c>
      <c r="I150" s="157"/>
    </row>
    <row r="151" spans="1:9" ht="15.75" thickBot="1" x14ac:dyDescent="0.25">
      <c r="A151" s="167"/>
      <c r="B151" s="168"/>
      <c r="C151" s="226"/>
      <c r="D151" s="226"/>
      <c r="E151" s="226"/>
      <c r="F151" s="166"/>
      <c r="G151" s="241"/>
      <c r="H151" s="242"/>
      <c r="I151" s="157"/>
    </row>
    <row r="152" spans="1:9" ht="17.25" thickTop="1" thickBot="1" x14ac:dyDescent="0.3">
      <c r="A152" s="174" t="s">
        <v>14</v>
      </c>
      <c r="B152" s="175"/>
      <c r="C152" s="228">
        <f>SUM(C142:C151)</f>
        <v>1693074795.79</v>
      </c>
      <c r="D152" s="228">
        <f>SUM(D142:D151)</f>
        <v>154150269.87</v>
      </c>
      <c r="E152" s="228">
        <f>SUM(E142:E151)</f>
        <v>166422106.18999997</v>
      </c>
      <c r="F152" s="176">
        <f>(+D152-E152)/E152</f>
        <v>-7.3739220112918849E-2</v>
      </c>
      <c r="G152" s="245">
        <f>D152/C152</f>
        <v>9.1047525043376751E-2</v>
      </c>
      <c r="H152" s="246">
        <f>1-G152</f>
        <v>0.90895247495662324</v>
      </c>
      <c r="I152" s="157"/>
    </row>
    <row r="153" spans="1:9" ht="15.75" thickTop="1" x14ac:dyDescent="0.2">
      <c r="A153" s="167"/>
      <c r="B153" s="168"/>
      <c r="C153" s="226"/>
      <c r="D153" s="226"/>
      <c r="E153" s="226"/>
      <c r="F153" s="166"/>
      <c r="G153" s="241"/>
      <c r="H153" s="242"/>
      <c r="I153" s="157"/>
    </row>
    <row r="154" spans="1:9" ht="15.75" x14ac:dyDescent="0.25">
      <c r="A154" s="164" t="s">
        <v>64</v>
      </c>
      <c r="B154" s="165">
        <f>DATE(19,7,1)</f>
        <v>7122</v>
      </c>
      <c r="C154" s="226">
        <v>30055377.399999999</v>
      </c>
      <c r="D154" s="226">
        <v>3293709.88</v>
      </c>
      <c r="E154" s="226">
        <v>3425449</v>
      </c>
      <c r="F154" s="166">
        <f t="shared" ref="F154:F162" si="36">(+D154-E154)/E154</f>
        <v>-3.8458934872479526E-2</v>
      </c>
      <c r="G154" s="241">
        <f t="shared" ref="G154:G162" si="37">D154/C154</f>
        <v>0.10958803931039642</v>
      </c>
      <c r="H154" s="242">
        <f t="shared" ref="H154:H162" si="38">1-G154</f>
        <v>0.8904119606896036</v>
      </c>
      <c r="I154" s="157"/>
    </row>
    <row r="155" spans="1:9" ht="15.75" x14ac:dyDescent="0.25">
      <c r="A155" s="164"/>
      <c r="B155" s="165">
        <f>DATE(19,8,1)</f>
        <v>7153</v>
      </c>
      <c r="C155" s="226">
        <v>32273780.59</v>
      </c>
      <c r="D155" s="226">
        <v>3283356.99</v>
      </c>
      <c r="E155" s="226">
        <v>3421840.59</v>
      </c>
      <c r="F155" s="166">
        <f t="shared" si="36"/>
        <v>-4.0470500117598882E-2</v>
      </c>
      <c r="G155" s="241">
        <f t="shared" si="37"/>
        <v>0.1017345018146819</v>
      </c>
      <c r="H155" s="242">
        <f t="shared" si="38"/>
        <v>0.89826549818531809</v>
      </c>
      <c r="I155" s="157"/>
    </row>
    <row r="156" spans="1:9" ht="15.75" x14ac:dyDescent="0.25">
      <c r="A156" s="164"/>
      <c r="B156" s="165">
        <f>DATE(19,9,1)</f>
        <v>7184</v>
      </c>
      <c r="C156" s="226">
        <v>27948254.77</v>
      </c>
      <c r="D156" s="226">
        <v>3164787.25</v>
      </c>
      <c r="E156" s="226">
        <v>3252949</v>
      </c>
      <c r="F156" s="166">
        <f t="shared" si="36"/>
        <v>-2.7102100278854666E-2</v>
      </c>
      <c r="G156" s="241">
        <f t="shared" si="37"/>
        <v>0.11323738373091981</v>
      </c>
      <c r="H156" s="242">
        <f t="shared" si="38"/>
        <v>0.88676261626908015</v>
      </c>
      <c r="I156" s="157"/>
    </row>
    <row r="157" spans="1:9" ht="15.75" x14ac:dyDescent="0.25">
      <c r="A157" s="164"/>
      <c r="B157" s="165">
        <f>DATE(19,10,1)</f>
        <v>7214</v>
      </c>
      <c r="C157" s="226">
        <v>28019367.18</v>
      </c>
      <c r="D157" s="226">
        <v>3114034.79</v>
      </c>
      <c r="E157" s="226">
        <v>3250399.43</v>
      </c>
      <c r="F157" s="166">
        <f t="shared" si="36"/>
        <v>-4.1953194657064076E-2</v>
      </c>
      <c r="G157" s="241">
        <f t="shared" si="37"/>
        <v>0.11113865527351285</v>
      </c>
      <c r="H157" s="242">
        <f t="shared" si="38"/>
        <v>0.88886134472648715</v>
      </c>
      <c r="I157" s="157"/>
    </row>
    <row r="158" spans="1:9" ht="15.75" x14ac:dyDescent="0.25">
      <c r="A158" s="164"/>
      <c r="B158" s="165">
        <f>DATE(19,11,1)</f>
        <v>7245</v>
      </c>
      <c r="C158" s="226">
        <v>29444428.43</v>
      </c>
      <c r="D158" s="226">
        <v>3192066.7</v>
      </c>
      <c r="E158" s="226">
        <v>3195617.35</v>
      </c>
      <c r="F158" s="166">
        <f t="shared" si="36"/>
        <v>-1.1110998630671181E-3</v>
      </c>
      <c r="G158" s="241">
        <f t="shared" si="37"/>
        <v>0.10840987141552744</v>
      </c>
      <c r="H158" s="242">
        <f t="shared" si="38"/>
        <v>0.89159012858447251</v>
      </c>
      <c r="I158" s="157"/>
    </row>
    <row r="159" spans="1:9" ht="15.75" x14ac:dyDescent="0.25">
      <c r="A159" s="164"/>
      <c r="B159" s="165">
        <f>DATE(19,12,1)</f>
        <v>7275</v>
      </c>
      <c r="C159" s="226">
        <v>30319604.32</v>
      </c>
      <c r="D159" s="226">
        <v>3336598.49</v>
      </c>
      <c r="E159" s="226">
        <v>3572083.96</v>
      </c>
      <c r="F159" s="166">
        <f t="shared" si="36"/>
        <v>-6.5923833996331865E-2</v>
      </c>
      <c r="G159" s="241">
        <f t="shared" si="37"/>
        <v>0.11004756047555175</v>
      </c>
      <c r="H159" s="242">
        <f t="shared" si="38"/>
        <v>0.88995243952444825</v>
      </c>
      <c r="I159" s="157"/>
    </row>
    <row r="160" spans="1:9" ht="15.75" x14ac:dyDescent="0.25">
      <c r="A160" s="164"/>
      <c r="B160" s="165">
        <f>DATE(20,1,1)</f>
        <v>7306</v>
      </c>
      <c r="C160" s="226">
        <v>28034607.52</v>
      </c>
      <c r="D160" s="226">
        <v>3179496.92</v>
      </c>
      <c r="E160" s="226">
        <v>3109821.23</v>
      </c>
      <c r="F160" s="166">
        <f t="shared" si="36"/>
        <v>2.2405046736400324E-2</v>
      </c>
      <c r="G160" s="241">
        <f t="shared" si="37"/>
        <v>0.11341328455309155</v>
      </c>
      <c r="H160" s="242">
        <f t="shared" si="38"/>
        <v>0.88658671544690848</v>
      </c>
      <c r="I160" s="157"/>
    </row>
    <row r="161" spans="1:9" ht="15.75" x14ac:dyDescent="0.25">
      <c r="A161" s="164"/>
      <c r="B161" s="165">
        <f>DATE(20,2,1)</f>
        <v>7337</v>
      </c>
      <c r="C161" s="226">
        <v>32297262.23</v>
      </c>
      <c r="D161" s="226">
        <v>3678191.22</v>
      </c>
      <c r="E161" s="226">
        <v>3355638.84</v>
      </c>
      <c r="F161" s="166">
        <f t="shared" si="36"/>
        <v>9.6122495709341699E-2</v>
      </c>
      <c r="G161" s="241">
        <f t="shared" si="37"/>
        <v>0.11388554218021099</v>
      </c>
      <c r="H161" s="242">
        <f t="shared" si="38"/>
        <v>0.88611445781978904</v>
      </c>
      <c r="I161" s="157"/>
    </row>
    <row r="162" spans="1:9" ht="15.75" x14ac:dyDescent="0.25">
      <c r="A162" s="164"/>
      <c r="B162" s="165">
        <f>DATE(20,3,1)</f>
        <v>7366</v>
      </c>
      <c r="C162" s="226">
        <v>17535482.73</v>
      </c>
      <c r="D162" s="226">
        <v>1985714.01</v>
      </c>
      <c r="E162" s="226">
        <v>2155967.5699999998</v>
      </c>
      <c r="F162" s="166">
        <f t="shared" si="36"/>
        <v>-7.8968516210102285E-2</v>
      </c>
      <c r="G162" s="241">
        <f t="shared" si="37"/>
        <v>0.11323976879192535</v>
      </c>
      <c r="H162" s="242">
        <f t="shared" si="38"/>
        <v>0.88676023120807468</v>
      </c>
      <c r="I162" s="157"/>
    </row>
    <row r="163" spans="1:9" ht="15.75" thickBot="1" x14ac:dyDescent="0.25">
      <c r="A163" s="167"/>
      <c r="B163" s="168"/>
      <c r="C163" s="226"/>
      <c r="D163" s="226"/>
      <c r="E163" s="226"/>
      <c r="F163" s="166"/>
      <c r="G163" s="241"/>
      <c r="H163" s="242"/>
      <c r="I163" s="157"/>
    </row>
    <row r="164" spans="1:9" ht="17.25" thickTop="1" thickBot="1" x14ac:dyDescent="0.3">
      <c r="A164" s="169" t="s">
        <v>14</v>
      </c>
      <c r="B164" s="155"/>
      <c r="C164" s="223">
        <f>SUM(C154:C163)</f>
        <v>255928165.16999999</v>
      </c>
      <c r="D164" s="223">
        <f>SUM(D154:D163)</f>
        <v>28227956.250000004</v>
      </c>
      <c r="E164" s="223">
        <f>SUM(E154:E163)</f>
        <v>28739766.969999999</v>
      </c>
      <c r="F164" s="176">
        <f>(+D164-E164)/E164</f>
        <v>-1.7808450588143204E-2</v>
      </c>
      <c r="G164" s="245">
        <f>D164/C164</f>
        <v>0.11029640380240922</v>
      </c>
      <c r="H164" s="246">
        <f>1-G164</f>
        <v>0.88970359619759076</v>
      </c>
      <c r="I164" s="157"/>
    </row>
    <row r="165" spans="1:9" ht="16.5" thickTop="1" thickBot="1" x14ac:dyDescent="0.25">
      <c r="A165" s="171"/>
      <c r="B165" s="172"/>
      <c r="C165" s="227"/>
      <c r="D165" s="227"/>
      <c r="E165" s="227"/>
      <c r="F165" s="173"/>
      <c r="G165" s="243"/>
      <c r="H165" s="244"/>
      <c r="I165" s="157"/>
    </row>
    <row r="166" spans="1:9" ht="17.25" thickTop="1" thickBot="1" x14ac:dyDescent="0.3">
      <c r="A166" s="184" t="s">
        <v>41</v>
      </c>
      <c r="B166" s="155"/>
      <c r="C166" s="223">
        <f>C164+C152+C116+C92+C68+C44+C20+C56+C140+C32+C104+C128+C80</f>
        <v>10814198315.330002</v>
      </c>
      <c r="D166" s="223">
        <f>D164+D152+D116+D92+D68+D44+D20+D56+D140+D32+D104+D128+D80</f>
        <v>1050902011.29</v>
      </c>
      <c r="E166" s="223">
        <f>E164+E152+E116+E92+E68+E44+E20+E56+E140+E32+E104+E128+E80</f>
        <v>1103915314.03</v>
      </c>
      <c r="F166" s="170">
        <f>(+D166-E166)/E166</f>
        <v>-4.8022979721576105E-2</v>
      </c>
      <c r="G166" s="236">
        <f>D166/C166</f>
        <v>9.7177985889186191E-2</v>
      </c>
      <c r="H166" s="237">
        <f>1-G166</f>
        <v>0.90282201411081386</v>
      </c>
      <c r="I166" s="157"/>
    </row>
    <row r="167" spans="1:9" ht="17.25" thickTop="1" thickBot="1" x14ac:dyDescent="0.3">
      <c r="A167" s="184"/>
      <c r="B167" s="155"/>
      <c r="C167" s="223"/>
      <c r="D167" s="223"/>
      <c r="E167" s="223"/>
      <c r="F167" s="170"/>
      <c r="G167" s="236"/>
      <c r="H167" s="237"/>
      <c r="I167" s="157"/>
    </row>
    <row r="168" spans="1:9" ht="17.25" thickTop="1" thickBot="1" x14ac:dyDescent="0.3">
      <c r="A168" s="184" t="s">
        <v>42</v>
      </c>
      <c r="B168" s="155"/>
      <c r="C168" s="223">
        <f>SUM(C18+C30+C42+C54+C66+C78+C90+C102+C114+C126+C138+C150+C162)</f>
        <v>658083824.25999999</v>
      </c>
      <c r="D168" s="223">
        <f>SUM(D18+D30+D42+D54+D66+D78+D90+D102+D114+D126+D138+D150+D162)</f>
        <v>65143676.25</v>
      </c>
      <c r="E168" s="223">
        <f>SUM(E18+E30+E42+E54+E66+E78+E90+E102+E114+E126+E138+E150+E162)</f>
        <v>140840509.34</v>
      </c>
      <c r="F168" s="170">
        <f>(+D168-E168)/E168</f>
        <v>-0.53746492003420643</v>
      </c>
      <c r="G168" s="236">
        <f>D168/C168</f>
        <v>9.8989936917614638E-2</v>
      </c>
      <c r="H168" s="246">
        <f>1-G168</f>
        <v>0.9010100630823854</v>
      </c>
      <c r="I168" s="157"/>
    </row>
    <row r="169" spans="1:9" ht="16.5" thickTop="1" x14ac:dyDescent="0.25">
      <c r="A169" s="185"/>
      <c r="B169" s="186"/>
      <c r="C169" s="231"/>
      <c r="D169" s="231"/>
      <c r="E169" s="231"/>
      <c r="F169" s="187"/>
      <c r="G169" s="250"/>
      <c r="H169" s="250"/>
      <c r="I169" s="151"/>
    </row>
    <row r="170" spans="1:9" ht="16.5" customHeight="1" x14ac:dyDescent="0.3">
      <c r="A170" s="188" t="s">
        <v>52</v>
      </c>
      <c r="B170" s="189"/>
      <c r="C170" s="232"/>
      <c r="D170" s="232"/>
      <c r="E170" s="232"/>
      <c r="F170" s="190"/>
      <c r="G170" s="251"/>
      <c r="H170" s="251"/>
      <c r="I170" s="151"/>
    </row>
    <row r="171" spans="1:9" ht="15.75" x14ac:dyDescent="0.25">
      <c r="A171" s="191"/>
      <c r="B171" s="189"/>
      <c r="C171" s="232"/>
      <c r="D171" s="232"/>
      <c r="E171" s="232"/>
      <c r="F171" s="190"/>
      <c r="G171" s="257"/>
      <c r="H171" s="257"/>
      <c r="I171" s="151"/>
    </row>
    <row r="172" spans="1:9" ht="15.75" x14ac:dyDescent="0.25">
      <c r="A172" s="72"/>
      <c r="I172" s="151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4" manualBreakCount="4">
    <brk id="44" max="8" man="1"/>
    <brk id="80" max="8" man="1"/>
    <brk id="116" max="8" man="1"/>
    <brk id="1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MONTHLY STATS</vt:lpstr>
      <vt:lpstr>YTD TAXES</vt:lpstr>
      <vt:lpstr>TABLE STATS</vt:lpstr>
      <vt:lpstr>SLOT STATS</vt:lpstr>
      <vt:lpstr>'MONTHLY STATS'!Print_Area</vt:lpstr>
      <vt:lpstr>'SLOT STATS'!Print_Area</vt:lpstr>
      <vt:lpstr>'TABLE STATS'!Print_Area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2020-04-09T13:52:52Z</cp:lastPrinted>
  <dcterms:created xsi:type="dcterms:W3CDTF">2003-09-09T14:41:43Z</dcterms:created>
  <dcterms:modified xsi:type="dcterms:W3CDTF">2020-04-09T20:50:33Z</dcterms:modified>
</cp:coreProperties>
</file>