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SLOT STATS" sheetId="4" r:id="rId4"/>
  </sheets>
  <definedNames>
    <definedName name="_xlnm.Print_Area" localSheetId="0">'MONTHLY STATS'!$A$1:$M$91</definedName>
    <definedName name="_xlnm.Print_Area" localSheetId="3">'SLOT STATS'!$A$1:$I$92</definedName>
    <definedName name="_xlnm.Print_Area" localSheetId="2">'TABLE STATS'!$A$1:$H$91</definedName>
    <definedName name="_xlnm.Print_Titles" localSheetId="0">'MONTHLY STATS'!$1:$7</definedName>
    <definedName name="_xlnm.Print_Titles" localSheetId="3">'SLOT STATS'!$1:$8</definedName>
    <definedName name="_xlnm.Print_Titles" localSheetId="2">'TABLE STATS'!$1:$7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E89" i="3" l="1"/>
  <c r="D89" i="3"/>
  <c r="C89" i="3"/>
  <c r="E90" i="4"/>
  <c r="F90" i="4" s="1"/>
  <c r="D90" i="4"/>
  <c r="C90" i="4"/>
  <c r="G84" i="4"/>
  <c r="H84" i="4" s="1"/>
  <c r="F84" i="4"/>
  <c r="G78" i="4"/>
  <c r="H78" i="4" s="1"/>
  <c r="F78" i="4"/>
  <c r="G72" i="4"/>
  <c r="H72" i="4"/>
  <c r="F72" i="4"/>
  <c r="G66" i="4"/>
  <c r="H66" i="4" s="1"/>
  <c r="F66" i="4"/>
  <c r="G60" i="4"/>
  <c r="H60" i="4"/>
  <c r="F60" i="4"/>
  <c r="G54" i="4"/>
  <c r="H54" i="4" s="1"/>
  <c r="F54" i="4"/>
  <c r="G48" i="4"/>
  <c r="H48" i="4"/>
  <c r="F48" i="4"/>
  <c r="G42" i="4"/>
  <c r="H42" i="4" s="1"/>
  <c r="F42" i="4"/>
  <c r="G36" i="4"/>
  <c r="H36" i="4"/>
  <c r="F36" i="4"/>
  <c r="G30" i="4"/>
  <c r="H30" i="4" s="1"/>
  <c r="F30" i="4"/>
  <c r="G24" i="4"/>
  <c r="H24" i="4"/>
  <c r="F24" i="4"/>
  <c r="G18" i="4"/>
  <c r="H18" i="4" s="1"/>
  <c r="F18" i="4"/>
  <c r="G12" i="4"/>
  <c r="H12" i="4"/>
  <c r="F12" i="4"/>
  <c r="B84" i="4"/>
  <c r="B78" i="4"/>
  <c r="B72" i="4"/>
  <c r="B66" i="4"/>
  <c r="B60" i="4"/>
  <c r="B54" i="4"/>
  <c r="B48" i="4"/>
  <c r="B42" i="4"/>
  <c r="B36" i="4"/>
  <c r="B30" i="4"/>
  <c r="B24" i="4"/>
  <c r="B18" i="4"/>
  <c r="B12" i="4"/>
  <c r="G83" i="3"/>
  <c r="F83" i="3"/>
  <c r="G77" i="3"/>
  <c r="F77" i="3"/>
  <c r="G71" i="3"/>
  <c r="F71" i="3"/>
  <c r="G65" i="3"/>
  <c r="F65" i="3"/>
  <c r="G59" i="3"/>
  <c r="F59" i="3"/>
  <c r="G53" i="3"/>
  <c r="F53" i="3"/>
  <c r="G47" i="3"/>
  <c r="F47" i="3"/>
  <c r="G41" i="3"/>
  <c r="F41" i="3"/>
  <c r="G35" i="3"/>
  <c r="F35" i="3"/>
  <c r="G29" i="3"/>
  <c r="F29" i="3"/>
  <c r="G23" i="3"/>
  <c r="F23" i="3"/>
  <c r="G17" i="3"/>
  <c r="F17" i="3"/>
  <c r="G11" i="3"/>
  <c r="F11" i="3"/>
  <c r="B83" i="3"/>
  <c r="B77" i="3"/>
  <c r="B71" i="3"/>
  <c r="B65" i="3"/>
  <c r="B59" i="3"/>
  <c r="B53" i="3"/>
  <c r="B47" i="3"/>
  <c r="B41" i="3"/>
  <c r="B35" i="3"/>
  <c r="B29" i="3"/>
  <c r="B23" i="3"/>
  <c r="B17" i="3"/>
  <c r="B11" i="3"/>
  <c r="N33" i="2"/>
  <c r="M33" i="2"/>
  <c r="L33" i="2"/>
  <c r="L44" i="2" s="1"/>
  <c r="K33" i="2"/>
  <c r="J33" i="2"/>
  <c r="I33" i="2"/>
  <c r="H33" i="2"/>
  <c r="G33" i="2"/>
  <c r="F33" i="2"/>
  <c r="O33" i="2" s="1"/>
  <c r="E33" i="2"/>
  <c r="D33" i="2"/>
  <c r="C33" i="2"/>
  <c r="B33" i="2"/>
  <c r="N12" i="2"/>
  <c r="M12" i="2"/>
  <c r="L12" i="2"/>
  <c r="K12" i="2"/>
  <c r="J12" i="2"/>
  <c r="I12" i="2"/>
  <c r="I23" i="2" s="1"/>
  <c r="H12" i="2"/>
  <c r="G12" i="2"/>
  <c r="F12" i="2"/>
  <c r="E12" i="2"/>
  <c r="D12" i="2"/>
  <c r="C12" i="2"/>
  <c r="B12" i="2"/>
  <c r="A33" i="2"/>
  <c r="A12" i="2"/>
  <c r="F40" i="1"/>
  <c r="F39" i="1"/>
  <c r="F43" i="1" s="1"/>
  <c r="H43" i="1" s="1"/>
  <c r="F52" i="1"/>
  <c r="J52" i="1" s="1"/>
  <c r="F64" i="1"/>
  <c r="F63" i="1"/>
  <c r="F67" i="1" s="1"/>
  <c r="L89" i="1"/>
  <c r="K89" i="1"/>
  <c r="D89" i="1"/>
  <c r="C89" i="1"/>
  <c r="M83" i="1"/>
  <c r="J83" i="1"/>
  <c r="I83" i="1"/>
  <c r="H83" i="1"/>
  <c r="E83" i="1"/>
  <c r="G83" i="1"/>
  <c r="F83" i="1"/>
  <c r="M77" i="1"/>
  <c r="I77" i="1"/>
  <c r="H77" i="1"/>
  <c r="E77" i="1"/>
  <c r="G77" i="1"/>
  <c r="F77" i="1"/>
  <c r="J77" i="1" s="1"/>
  <c r="M71" i="1"/>
  <c r="J71" i="1"/>
  <c r="I71" i="1"/>
  <c r="E71" i="1"/>
  <c r="G71" i="1"/>
  <c r="F71" i="1"/>
  <c r="H71" i="1" s="1"/>
  <c r="M65" i="1"/>
  <c r="J65" i="1"/>
  <c r="I65" i="1"/>
  <c r="E65" i="1"/>
  <c r="G65" i="1"/>
  <c r="F65" i="1"/>
  <c r="H65" i="1" s="1"/>
  <c r="M59" i="1"/>
  <c r="I59" i="1"/>
  <c r="E59" i="1"/>
  <c r="G59" i="1"/>
  <c r="F59" i="1"/>
  <c r="H59" i="1" s="1"/>
  <c r="M53" i="1"/>
  <c r="J53" i="1"/>
  <c r="I53" i="1"/>
  <c r="E53" i="1"/>
  <c r="G53" i="1"/>
  <c r="H53" i="1" s="1"/>
  <c r="F53" i="1"/>
  <c r="M47" i="1"/>
  <c r="I47" i="1"/>
  <c r="E47" i="1"/>
  <c r="G47" i="1"/>
  <c r="F47" i="1"/>
  <c r="J47" i="1" s="1"/>
  <c r="M41" i="1"/>
  <c r="J41" i="1"/>
  <c r="I41" i="1"/>
  <c r="H41" i="1"/>
  <c r="E41" i="1"/>
  <c r="G41" i="1"/>
  <c r="F41" i="1"/>
  <c r="M35" i="1"/>
  <c r="I35" i="1"/>
  <c r="E35" i="1"/>
  <c r="G35" i="1"/>
  <c r="F35" i="1"/>
  <c r="J35" i="1" s="1"/>
  <c r="M29" i="1"/>
  <c r="J29" i="1"/>
  <c r="I29" i="1"/>
  <c r="H29" i="1"/>
  <c r="E29" i="1"/>
  <c r="G29" i="1"/>
  <c r="F29" i="1"/>
  <c r="M23" i="1"/>
  <c r="I23" i="1"/>
  <c r="E23" i="1"/>
  <c r="G23" i="1"/>
  <c r="F23" i="1"/>
  <c r="J23" i="1" s="1"/>
  <c r="M17" i="1"/>
  <c r="J17" i="1"/>
  <c r="I17" i="1"/>
  <c r="E17" i="1"/>
  <c r="G17" i="1"/>
  <c r="H17" i="1" s="1"/>
  <c r="F17" i="1"/>
  <c r="M11" i="1"/>
  <c r="I11" i="1"/>
  <c r="H11" i="1"/>
  <c r="E11" i="1"/>
  <c r="G11" i="1"/>
  <c r="G89" i="1" s="1"/>
  <c r="F11" i="1"/>
  <c r="F89" i="1" s="1"/>
  <c r="H89" i="1" s="1"/>
  <c r="B83" i="1"/>
  <c r="B77" i="1"/>
  <c r="B71" i="1"/>
  <c r="B65" i="1"/>
  <c r="B59" i="1"/>
  <c r="B53" i="1"/>
  <c r="B47" i="1"/>
  <c r="B41" i="1"/>
  <c r="B35" i="1"/>
  <c r="B29" i="1"/>
  <c r="B23" i="1"/>
  <c r="B17" i="1"/>
  <c r="B11" i="1"/>
  <c r="G90" i="4"/>
  <c r="H90" i="4" s="1"/>
  <c r="G83" i="4"/>
  <c r="H83" i="4" s="1"/>
  <c r="F83" i="4"/>
  <c r="G77" i="4"/>
  <c r="H77" i="4"/>
  <c r="F77" i="4"/>
  <c r="G71" i="4"/>
  <c r="H71" i="4" s="1"/>
  <c r="F71" i="4"/>
  <c r="G65" i="4"/>
  <c r="H65" i="4"/>
  <c r="F65" i="4"/>
  <c r="G59" i="4"/>
  <c r="H59" i="4" s="1"/>
  <c r="F59" i="4"/>
  <c r="G53" i="4"/>
  <c r="H53" i="4"/>
  <c r="F53" i="4"/>
  <c r="G47" i="4"/>
  <c r="H47" i="4" s="1"/>
  <c r="F47" i="4"/>
  <c r="G41" i="4"/>
  <c r="H41" i="4"/>
  <c r="F41" i="4"/>
  <c r="G35" i="4"/>
  <c r="H35" i="4" s="1"/>
  <c r="F35" i="4"/>
  <c r="G29" i="4"/>
  <c r="H29" i="4"/>
  <c r="F29" i="4"/>
  <c r="G23" i="4"/>
  <c r="H23" i="4" s="1"/>
  <c r="F23" i="4"/>
  <c r="G17" i="4"/>
  <c r="H17" i="4"/>
  <c r="F17" i="4"/>
  <c r="G11" i="4"/>
  <c r="H11" i="4" s="1"/>
  <c r="F11" i="4"/>
  <c r="B83" i="4"/>
  <c r="B77" i="4"/>
  <c r="B71" i="4"/>
  <c r="B65" i="4"/>
  <c r="B59" i="4"/>
  <c r="B53" i="4"/>
  <c r="B47" i="4"/>
  <c r="B41" i="4"/>
  <c r="B35" i="4"/>
  <c r="B29" i="4"/>
  <c r="B23" i="4"/>
  <c r="B17" i="4"/>
  <c r="B11" i="4"/>
  <c r="G82" i="3"/>
  <c r="F82" i="3"/>
  <c r="G76" i="3"/>
  <c r="F76" i="3"/>
  <c r="G70" i="3"/>
  <c r="F70" i="3"/>
  <c r="G64" i="3"/>
  <c r="F64" i="3"/>
  <c r="G58" i="3"/>
  <c r="F58" i="3"/>
  <c r="G52" i="3"/>
  <c r="F52" i="3"/>
  <c r="G46" i="3"/>
  <c r="F46" i="3"/>
  <c r="G40" i="3"/>
  <c r="F40" i="3"/>
  <c r="G34" i="3"/>
  <c r="F34" i="3"/>
  <c r="G28" i="3"/>
  <c r="F28" i="3"/>
  <c r="G22" i="3"/>
  <c r="F22" i="3"/>
  <c r="G16" i="3"/>
  <c r="F16" i="3"/>
  <c r="G10" i="3"/>
  <c r="F10" i="3"/>
  <c r="B82" i="3"/>
  <c r="B76" i="3"/>
  <c r="B70" i="3"/>
  <c r="B64" i="3"/>
  <c r="B58" i="3"/>
  <c r="B52" i="3"/>
  <c r="B46" i="3"/>
  <c r="B40" i="3"/>
  <c r="B34" i="3"/>
  <c r="B28" i="3"/>
  <c r="B22" i="3"/>
  <c r="B16" i="3"/>
  <c r="B10" i="3"/>
  <c r="N32" i="2"/>
  <c r="M32" i="2"/>
  <c r="L32" i="2"/>
  <c r="K32" i="2"/>
  <c r="J32" i="2"/>
  <c r="I32" i="2"/>
  <c r="H32" i="2"/>
  <c r="G32" i="2"/>
  <c r="F32" i="2"/>
  <c r="E32" i="2"/>
  <c r="D32" i="2"/>
  <c r="O32" i="2" s="1"/>
  <c r="C32" i="2"/>
  <c r="B32" i="2"/>
  <c r="N11" i="2"/>
  <c r="M11" i="2"/>
  <c r="L11" i="2"/>
  <c r="K11" i="2"/>
  <c r="J11" i="2"/>
  <c r="I11" i="2"/>
  <c r="H11" i="2"/>
  <c r="G11" i="2"/>
  <c r="G23" i="2" s="1"/>
  <c r="F11" i="2"/>
  <c r="E11" i="2"/>
  <c r="O11" i="2" s="1"/>
  <c r="D11" i="2"/>
  <c r="C11" i="2"/>
  <c r="B11" i="2"/>
  <c r="A32" i="2"/>
  <c r="A11" i="2"/>
  <c r="F21" i="1"/>
  <c r="H21" i="1" s="1"/>
  <c r="M82" i="1"/>
  <c r="I82" i="1"/>
  <c r="H82" i="1"/>
  <c r="E82" i="1"/>
  <c r="G82" i="1"/>
  <c r="F82" i="1"/>
  <c r="J82" i="1" s="1"/>
  <c r="M76" i="1"/>
  <c r="I76" i="1"/>
  <c r="H76" i="1"/>
  <c r="E76" i="1"/>
  <c r="G76" i="1"/>
  <c r="F76" i="1"/>
  <c r="J76" i="1" s="1"/>
  <c r="M70" i="1"/>
  <c r="J70" i="1"/>
  <c r="I70" i="1"/>
  <c r="E70" i="1"/>
  <c r="G70" i="1"/>
  <c r="F70" i="1"/>
  <c r="H70" i="1" s="1"/>
  <c r="M64" i="1"/>
  <c r="J64" i="1"/>
  <c r="I64" i="1"/>
  <c r="E64" i="1"/>
  <c r="G64" i="1"/>
  <c r="H64" i="1"/>
  <c r="M58" i="1"/>
  <c r="J58" i="1"/>
  <c r="I58" i="1"/>
  <c r="H58" i="1"/>
  <c r="E58" i="1"/>
  <c r="G58" i="1"/>
  <c r="F58" i="1"/>
  <c r="M52" i="1"/>
  <c r="I52" i="1"/>
  <c r="E52" i="1"/>
  <c r="G52" i="1"/>
  <c r="H52" i="1"/>
  <c r="M46" i="1"/>
  <c r="J46" i="1"/>
  <c r="I46" i="1"/>
  <c r="H46" i="1"/>
  <c r="E46" i="1"/>
  <c r="G46" i="1"/>
  <c r="F46" i="1"/>
  <c r="M40" i="1"/>
  <c r="I40" i="1"/>
  <c r="E40" i="1"/>
  <c r="G40" i="1"/>
  <c r="H40" i="1" s="1"/>
  <c r="J40" i="1"/>
  <c r="M34" i="1"/>
  <c r="J34" i="1"/>
  <c r="I34" i="1"/>
  <c r="H34" i="1"/>
  <c r="E34" i="1"/>
  <c r="G34" i="1"/>
  <c r="G37" i="1" s="1"/>
  <c r="F34" i="1"/>
  <c r="M28" i="1"/>
  <c r="I28" i="1"/>
  <c r="E28" i="1"/>
  <c r="G28" i="1"/>
  <c r="F28" i="1"/>
  <c r="J28" i="1" s="1"/>
  <c r="M22" i="1"/>
  <c r="J22" i="1"/>
  <c r="I22" i="1"/>
  <c r="E22" i="1"/>
  <c r="G22" i="1"/>
  <c r="H22" i="1" s="1"/>
  <c r="F22" i="1"/>
  <c r="M16" i="1"/>
  <c r="I16" i="1"/>
  <c r="H16" i="1"/>
  <c r="E16" i="1"/>
  <c r="G16" i="1"/>
  <c r="F16" i="1"/>
  <c r="J16" i="1" s="1"/>
  <c r="M10" i="1"/>
  <c r="I10" i="1"/>
  <c r="H10" i="1"/>
  <c r="E10" i="1"/>
  <c r="G10" i="1"/>
  <c r="F10" i="1"/>
  <c r="J10" i="1" s="1"/>
  <c r="B82" i="1"/>
  <c r="B76" i="1"/>
  <c r="B70" i="1"/>
  <c r="B64" i="1"/>
  <c r="B58" i="1"/>
  <c r="B52" i="1"/>
  <c r="B46" i="1"/>
  <c r="B40" i="1"/>
  <c r="B34" i="1"/>
  <c r="B28" i="1"/>
  <c r="B22" i="1"/>
  <c r="B16" i="1"/>
  <c r="B10" i="1"/>
  <c r="B82" i="4"/>
  <c r="B76" i="4"/>
  <c r="B70" i="4"/>
  <c r="B64" i="4"/>
  <c r="B58" i="4"/>
  <c r="B52" i="4"/>
  <c r="B46" i="4"/>
  <c r="B40" i="4"/>
  <c r="B34" i="4"/>
  <c r="B28" i="4"/>
  <c r="B22" i="4"/>
  <c r="B16" i="4"/>
  <c r="B10" i="4"/>
  <c r="B81" i="3"/>
  <c r="B75" i="3"/>
  <c r="B69" i="3"/>
  <c r="B63" i="3"/>
  <c r="B57" i="3"/>
  <c r="B51" i="3"/>
  <c r="B45" i="3"/>
  <c r="B39" i="3"/>
  <c r="B33" i="3"/>
  <c r="B27" i="3"/>
  <c r="B21" i="3"/>
  <c r="B15" i="3"/>
  <c r="B9" i="3"/>
  <c r="A31" i="2"/>
  <c r="A10" i="2"/>
  <c r="G81" i="1"/>
  <c r="F81" i="1"/>
  <c r="F85" i="1" s="1"/>
  <c r="G75" i="1"/>
  <c r="F75" i="1"/>
  <c r="F79" i="1" s="1"/>
  <c r="H79" i="1" s="1"/>
  <c r="B75" i="1"/>
  <c r="G69" i="1"/>
  <c r="F69" i="1"/>
  <c r="J69" i="1" s="1"/>
  <c r="G63" i="1"/>
  <c r="G67" i="1" s="1"/>
  <c r="G57" i="1"/>
  <c r="H57" i="1" s="1"/>
  <c r="F57" i="1"/>
  <c r="G51" i="1"/>
  <c r="F51" i="1"/>
  <c r="G45" i="1"/>
  <c r="F45" i="1"/>
  <c r="G39" i="1"/>
  <c r="G43" i="1" s="1"/>
  <c r="G33" i="1"/>
  <c r="F33" i="1"/>
  <c r="G27" i="1"/>
  <c r="F27" i="1"/>
  <c r="H27" i="1" s="1"/>
  <c r="G21" i="1"/>
  <c r="J21" i="1"/>
  <c r="G15" i="1"/>
  <c r="F15" i="1"/>
  <c r="H15" i="1" s="1"/>
  <c r="G9" i="1"/>
  <c r="F9" i="1"/>
  <c r="H9" i="1" s="1"/>
  <c r="B81" i="1"/>
  <c r="B69" i="1"/>
  <c r="B63" i="1"/>
  <c r="B57" i="1"/>
  <c r="B51" i="1"/>
  <c r="B45" i="1"/>
  <c r="B39" i="1"/>
  <c r="B33" i="1"/>
  <c r="B27" i="1"/>
  <c r="B21" i="1"/>
  <c r="B15" i="1"/>
  <c r="B9" i="1"/>
  <c r="J51" i="1"/>
  <c r="G49" i="1"/>
  <c r="J45" i="1"/>
  <c r="J39" i="1"/>
  <c r="J33" i="1"/>
  <c r="J9" i="1"/>
  <c r="L31" i="1"/>
  <c r="F40" i="4"/>
  <c r="F39" i="3"/>
  <c r="M39" i="1"/>
  <c r="E39" i="1"/>
  <c r="F82" i="4"/>
  <c r="F81" i="3"/>
  <c r="G31" i="2"/>
  <c r="G44" i="2" s="1"/>
  <c r="G10" i="2"/>
  <c r="M81" i="1"/>
  <c r="E81" i="1"/>
  <c r="E44" i="4"/>
  <c r="D44" i="4"/>
  <c r="C44" i="4"/>
  <c r="G40" i="4"/>
  <c r="H40" i="4"/>
  <c r="E43" i="3"/>
  <c r="D43" i="3"/>
  <c r="C43" i="3"/>
  <c r="G39" i="3"/>
  <c r="L43" i="1"/>
  <c r="D43" i="1"/>
  <c r="E43" i="1" s="1"/>
  <c r="C43" i="1"/>
  <c r="I39" i="1"/>
  <c r="G82" i="4"/>
  <c r="H82" i="4"/>
  <c r="G81" i="3"/>
  <c r="I81" i="1"/>
  <c r="D13" i="1"/>
  <c r="D19" i="1"/>
  <c r="E19" i="1"/>
  <c r="D25" i="1"/>
  <c r="D31" i="1"/>
  <c r="D37" i="1"/>
  <c r="D87" i="1" s="1"/>
  <c r="D49" i="1"/>
  <c r="D55" i="1"/>
  <c r="D61" i="1"/>
  <c r="D67" i="1"/>
  <c r="D73" i="1"/>
  <c r="D79" i="1"/>
  <c r="D85" i="1"/>
  <c r="C85" i="1"/>
  <c r="E85" i="1" s="1"/>
  <c r="C86" i="4"/>
  <c r="C88" i="4" s="1"/>
  <c r="D86" i="4"/>
  <c r="C85" i="3"/>
  <c r="D85" i="3"/>
  <c r="E14" i="4"/>
  <c r="E20" i="4"/>
  <c r="E26" i="4"/>
  <c r="F26" i="4" s="1"/>
  <c r="E32" i="4"/>
  <c r="E38" i="4"/>
  <c r="E50" i="4"/>
  <c r="F50" i="4" s="1"/>
  <c r="E56" i="4"/>
  <c r="F56" i="4" s="1"/>
  <c r="E62" i="4"/>
  <c r="E68" i="4"/>
  <c r="F68" i="4" s="1"/>
  <c r="E74" i="4"/>
  <c r="E80" i="4"/>
  <c r="E88" i="4" s="1"/>
  <c r="E86" i="4"/>
  <c r="D14" i="4"/>
  <c r="G14" i="4" s="1"/>
  <c r="H14" i="4" s="1"/>
  <c r="D20" i="4"/>
  <c r="F20" i="4" s="1"/>
  <c r="D26" i="4"/>
  <c r="G26" i="4" s="1"/>
  <c r="H26" i="4" s="1"/>
  <c r="D32" i="4"/>
  <c r="F32" i="4" s="1"/>
  <c r="D38" i="4"/>
  <c r="G38" i="4" s="1"/>
  <c r="H38" i="4" s="1"/>
  <c r="F38" i="4"/>
  <c r="D50" i="4"/>
  <c r="D56" i="4"/>
  <c r="D62" i="4"/>
  <c r="F62" i="4" s="1"/>
  <c r="D68" i="4"/>
  <c r="D74" i="4"/>
  <c r="G74" i="4" s="1"/>
  <c r="H74" i="4" s="1"/>
  <c r="D80" i="4"/>
  <c r="C14" i="4"/>
  <c r="C20" i="4"/>
  <c r="G20" i="4" s="1"/>
  <c r="H20" i="4" s="1"/>
  <c r="C26" i="4"/>
  <c r="C32" i="4"/>
  <c r="C38" i="4"/>
  <c r="C50" i="4"/>
  <c r="C56" i="4"/>
  <c r="G56" i="4"/>
  <c r="H56" i="4" s="1"/>
  <c r="C62" i="4"/>
  <c r="G62" i="4"/>
  <c r="H62" i="4"/>
  <c r="C68" i="4"/>
  <c r="G68" i="4" s="1"/>
  <c r="H68" i="4" s="1"/>
  <c r="C74" i="4"/>
  <c r="C80" i="4"/>
  <c r="G80" i="4"/>
  <c r="H80" i="4" s="1"/>
  <c r="F64" i="4"/>
  <c r="E13" i="3"/>
  <c r="E19" i="3"/>
  <c r="F19" i="3" s="1"/>
  <c r="E25" i="3"/>
  <c r="E31" i="3"/>
  <c r="E37" i="3"/>
  <c r="E49" i="3"/>
  <c r="F49" i="3" s="1"/>
  <c r="E55" i="3"/>
  <c r="E61" i="3"/>
  <c r="E67" i="3"/>
  <c r="F67" i="3" s="1"/>
  <c r="E73" i="3"/>
  <c r="E79" i="3"/>
  <c r="E87" i="3" s="1"/>
  <c r="E85" i="3"/>
  <c r="F85" i="3"/>
  <c r="D13" i="3"/>
  <c r="D19" i="3"/>
  <c r="D25" i="3"/>
  <c r="F25" i="3"/>
  <c r="D31" i="3"/>
  <c r="F31" i="3" s="1"/>
  <c r="D37" i="3"/>
  <c r="F37" i="3" s="1"/>
  <c r="D49" i="3"/>
  <c r="D55" i="3"/>
  <c r="F55" i="3" s="1"/>
  <c r="D61" i="3"/>
  <c r="D87" i="3" s="1"/>
  <c r="D67" i="3"/>
  <c r="G67" i="3"/>
  <c r="D73" i="3"/>
  <c r="F73" i="3" s="1"/>
  <c r="D79" i="3"/>
  <c r="F79" i="3"/>
  <c r="C13" i="3"/>
  <c r="C19" i="3"/>
  <c r="C25" i="3"/>
  <c r="G25" i="3" s="1"/>
  <c r="C31" i="3"/>
  <c r="C37" i="3"/>
  <c r="C49" i="3"/>
  <c r="G49" i="3"/>
  <c r="C55" i="3"/>
  <c r="C61" i="3"/>
  <c r="C67" i="3"/>
  <c r="C73" i="3"/>
  <c r="G73" i="3" s="1"/>
  <c r="C79" i="3"/>
  <c r="C87" i="3" s="1"/>
  <c r="F63" i="3"/>
  <c r="M63" i="1"/>
  <c r="E63" i="1"/>
  <c r="L13" i="1"/>
  <c r="M13" i="1" s="1"/>
  <c r="L19" i="1"/>
  <c r="M19" i="1"/>
  <c r="L25" i="1"/>
  <c r="L37" i="1"/>
  <c r="L49" i="1"/>
  <c r="L55" i="1"/>
  <c r="L61" i="1"/>
  <c r="L67" i="1"/>
  <c r="L87" i="1" s="1"/>
  <c r="L73" i="1"/>
  <c r="L79" i="1"/>
  <c r="K13" i="1"/>
  <c r="K19" i="1"/>
  <c r="I19" i="1"/>
  <c r="C13" i="1"/>
  <c r="C19" i="1"/>
  <c r="C25" i="1"/>
  <c r="E25" i="1" s="1"/>
  <c r="C31" i="1"/>
  <c r="E31" i="1" s="1"/>
  <c r="C37" i="1"/>
  <c r="E37" i="1" s="1"/>
  <c r="C49" i="1"/>
  <c r="I49" i="1" s="1"/>
  <c r="C55" i="1"/>
  <c r="E55" i="1" s="1"/>
  <c r="C61" i="1"/>
  <c r="E61" i="1" s="1"/>
  <c r="C67" i="1"/>
  <c r="C73" i="1"/>
  <c r="E73" i="1" s="1"/>
  <c r="C79" i="1"/>
  <c r="E79" i="1" s="1"/>
  <c r="E69" i="1"/>
  <c r="I69" i="1"/>
  <c r="M69" i="1"/>
  <c r="K67" i="1"/>
  <c r="J67" i="1" s="1"/>
  <c r="F76" i="4"/>
  <c r="K31" i="2"/>
  <c r="K44" i="2" s="1"/>
  <c r="K10" i="2"/>
  <c r="K31" i="1"/>
  <c r="I31" i="1" s="1"/>
  <c r="K37" i="1"/>
  <c r="K49" i="1"/>
  <c r="M49" i="1" s="1"/>
  <c r="K55" i="1"/>
  <c r="K61" i="1"/>
  <c r="I61" i="1" s="1"/>
  <c r="K79" i="1"/>
  <c r="I79" i="1" s="1"/>
  <c r="I63" i="1"/>
  <c r="G64" i="4"/>
  <c r="H64" i="4" s="1"/>
  <c r="G63" i="3"/>
  <c r="F52" i="4"/>
  <c r="F51" i="3"/>
  <c r="N31" i="2"/>
  <c r="M31" i="2"/>
  <c r="M44" i="2" s="1"/>
  <c r="L31" i="2"/>
  <c r="J31" i="2"/>
  <c r="I31" i="2"/>
  <c r="I44" i="2" s="1"/>
  <c r="H31" i="2"/>
  <c r="H44" i="2" s="1"/>
  <c r="F31" i="2"/>
  <c r="F44" i="2" s="1"/>
  <c r="E31" i="2"/>
  <c r="E44" i="2" s="1"/>
  <c r="C31" i="2"/>
  <c r="B31" i="2"/>
  <c r="O31" i="2" s="1"/>
  <c r="O44" i="2" s="1"/>
  <c r="M51" i="1"/>
  <c r="E51" i="1"/>
  <c r="I10" i="2"/>
  <c r="G52" i="4"/>
  <c r="H52" i="4" s="1"/>
  <c r="G58" i="4"/>
  <c r="H58" i="4"/>
  <c r="F58" i="4"/>
  <c r="G51" i="3"/>
  <c r="I51" i="1"/>
  <c r="F10" i="4"/>
  <c r="G10" i="4"/>
  <c r="H10" i="4" s="1"/>
  <c r="I9" i="1"/>
  <c r="I15" i="1"/>
  <c r="I27" i="1"/>
  <c r="I33" i="1"/>
  <c r="I45" i="1"/>
  <c r="I57" i="1"/>
  <c r="I75" i="1"/>
  <c r="E9" i="1"/>
  <c r="M9" i="1"/>
  <c r="E15" i="1"/>
  <c r="M15" i="1"/>
  <c r="E21" i="1"/>
  <c r="E27" i="1"/>
  <c r="M27" i="1"/>
  <c r="E33" i="1"/>
  <c r="M33" i="1"/>
  <c r="E45" i="1"/>
  <c r="M45" i="1"/>
  <c r="E57" i="1"/>
  <c r="M57" i="1"/>
  <c r="E75" i="1"/>
  <c r="M75" i="1"/>
  <c r="F16" i="4"/>
  <c r="G16" i="4"/>
  <c r="H16" i="4"/>
  <c r="F22" i="4"/>
  <c r="G22" i="4"/>
  <c r="H22" i="4" s="1"/>
  <c r="F28" i="4"/>
  <c r="G28" i="4"/>
  <c r="H28" i="4"/>
  <c r="F34" i="4"/>
  <c r="G34" i="4"/>
  <c r="H34" i="4" s="1"/>
  <c r="F46" i="4"/>
  <c r="G46" i="4"/>
  <c r="H46" i="4"/>
  <c r="F70" i="4"/>
  <c r="G70" i="4"/>
  <c r="H70" i="4" s="1"/>
  <c r="G76" i="4"/>
  <c r="H76" i="4"/>
  <c r="F9" i="3"/>
  <c r="F15" i="3"/>
  <c r="G15" i="3"/>
  <c r="F21" i="3"/>
  <c r="G21" i="3"/>
  <c r="F27" i="3"/>
  <c r="G27" i="3"/>
  <c r="F33" i="3"/>
  <c r="G33" i="3"/>
  <c r="F45" i="3"/>
  <c r="G45" i="3"/>
  <c r="F57" i="3"/>
  <c r="G57" i="3"/>
  <c r="F69" i="3"/>
  <c r="G69" i="3"/>
  <c r="F75" i="3"/>
  <c r="G75" i="3"/>
  <c r="G9" i="3"/>
  <c r="B10" i="2"/>
  <c r="B23" i="2" s="1"/>
  <c r="C10" i="2"/>
  <c r="O10" i="2" s="1"/>
  <c r="O23" i="2" s="1"/>
  <c r="D10" i="2"/>
  <c r="D23" i="2" s="1"/>
  <c r="E10" i="2"/>
  <c r="F10" i="2"/>
  <c r="H10" i="2"/>
  <c r="H23" i="2" s="1"/>
  <c r="J10" i="2"/>
  <c r="J23" i="2" s="1"/>
  <c r="L10" i="2"/>
  <c r="M10" i="2"/>
  <c r="M23" i="2" s="1"/>
  <c r="N10" i="2"/>
  <c r="I21" i="1"/>
  <c r="M21" i="1"/>
  <c r="K25" i="1"/>
  <c r="M25" i="1" s="1"/>
  <c r="D31" i="2"/>
  <c r="L85" i="1"/>
  <c r="K85" i="1"/>
  <c r="M85" i="1"/>
  <c r="K43" i="1"/>
  <c r="I43" i="1" s="1"/>
  <c r="K73" i="1"/>
  <c r="J73" i="1" s="1"/>
  <c r="E89" i="1"/>
  <c r="H33" i="1"/>
  <c r="H75" i="1"/>
  <c r="H45" i="1"/>
  <c r="H63" i="1"/>
  <c r="H51" i="1"/>
  <c r="G85" i="1"/>
  <c r="H69" i="1"/>
  <c r="E67" i="1"/>
  <c r="H39" i="1"/>
  <c r="F49" i="1"/>
  <c r="H49" i="1"/>
  <c r="J57" i="1"/>
  <c r="J15" i="1"/>
  <c r="G31" i="1"/>
  <c r="F73" i="1"/>
  <c r="H73" i="1" s="1"/>
  <c r="G73" i="1"/>
  <c r="G13" i="1"/>
  <c r="F19" i="1"/>
  <c r="G55" i="1"/>
  <c r="G79" i="1"/>
  <c r="H81" i="1"/>
  <c r="F89" i="3"/>
  <c r="G43" i="3"/>
  <c r="G19" i="3"/>
  <c r="G13" i="3"/>
  <c r="E13" i="1"/>
  <c r="G89" i="3"/>
  <c r="G44" i="4"/>
  <c r="H44" i="4"/>
  <c r="F86" i="4"/>
  <c r="F80" i="4"/>
  <c r="G50" i="4"/>
  <c r="H50" i="4"/>
  <c r="F44" i="4"/>
  <c r="D88" i="4"/>
  <c r="F14" i="4"/>
  <c r="F43" i="3"/>
  <c r="G79" i="3"/>
  <c r="G55" i="3"/>
  <c r="G31" i="3"/>
  <c r="F13" i="3"/>
  <c r="G85" i="3"/>
  <c r="O12" i="2"/>
  <c r="I85" i="1"/>
  <c r="M67" i="1"/>
  <c r="M61" i="1"/>
  <c r="M55" i="1"/>
  <c r="I55" i="1"/>
  <c r="J49" i="1"/>
  <c r="M31" i="1"/>
  <c r="I13" i="1"/>
  <c r="N23" i="2"/>
  <c r="C44" i="2"/>
  <c r="L23" i="2"/>
  <c r="C23" i="2"/>
  <c r="F23" i="2"/>
  <c r="N44" i="2"/>
  <c r="K23" i="2"/>
  <c r="J44" i="2"/>
  <c r="H85" i="1" l="1"/>
  <c r="F88" i="4"/>
  <c r="J89" i="1"/>
  <c r="H67" i="1"/>
  <c r="J85" i="1"/>
  <c r="F87" i="3"/>
  <c r="G87" i="3"/>
  <c r="C87" i="1"/>
  <c r="E87" i="1" s="1"/>
  <c r="I67" i="1"/>
  <c r="G37" i="3"/>
  <c r="G61" i="1"/>
  <c r="J27" i="1"/>
  <c r="G32" i="4"/>
  <c r="H32" i="4" s="1"/>
  <c r="M79" i="1"/>
  <c r="B44" i="2"/>
  <c r="J43" i="1"/>
  <c r="F31" i="1"/>
  <c r="E49" i="1"/>
  <c r="F61" i="3"/>
  <c r="G19" i="1"/>
  <c r="H19" i="1" s="1"/>
  <c r="J59" i="1"/>
  <c r="M73" i="1"/>
  <c r="E23" i="2"/>
  <c r="K87" i="1"/>
  <c r="G86" i="4"/>
  <c r="H86" i="4" s="1"/>
  <c r="J63" i="1"/>
  <c r="I73" i="1"/>
  <c r="F25" i="1"/>
  <c r="H25" i="1" s="1"/>
  <c r="J11" i="1"/>
  <c r="H23" i="1"/>
  <c r="J19" i="1"/>
  <c r="J79" i="1"/>
  <c r="F61" i="1"/>
  <c r="H61" i="1" s="1"/>
  <c r="M43" i="1"/>
  <c r="D44" i="2"/>
  <c r="I37" i="1"/>
  <c r="G25" i="1"/>
  <c r="H28" i="1"/>
  <c r="M37" i="1"/>
  <c r="F55" i="1"/>
  <c r="F37" i="1"/>
  <c r="H37" i="1" s="1"/>
  <c r="F13" i="1"/>
  <c r="G61" i="3"/>
  <c r="F74" i="4"/>
  <c r="J81" i="1"/>
  <c r="M89" i="1"/>
  <c r="H35" i="1"/>
  <c r="G88" i="4"/>
  <c r="H88" i="4" s="1"/>
  <c r="I89" i="1"/>
  <c r="J75" i="1"/>
  <c r="H47" i="1"/>
  <c r="I25" i="1"/>
  <c r="J13" i="1" l="1"/>
  <c r="H13" i="1"/>
  <c r="J61" i="1"/>
  <c r="H31" i="1"/>
  <c r="J31" i="1"/>
  <c r="J25" i="1"/>
  <c r="J37" i="1"/>
  <c r="H55" i="1"/>
  <c r="J55" i="1"/>
  <c r="G87" i="1"/>
  <c r="M87" i="1"/>
  <c r="J87" i="1"/>
  <c r="I87" i="1"/>
  <c r="F87" i="1"/>
  <c r="H87" i="1" l="1"/>
</calcChain>
</file>

<file path=xl/sharedStrings.xml><?xml version="1.0" encoding="utf-8"?>
<sst xmlns="http://schemas.openxmlformats.org/spreadsheetml/2006/main" count="192" uniqueCount="75">
  <si>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</si>
  <si>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</si>
  <si>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</si>
  <si>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</si>
  <si>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</si>
  <si>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</si>
  <si>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</si>
  <si>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</si>
  <si>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</si>
  <si>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</si>
  <si>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</si>
  <si>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</si>
  <si>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</si>
  <si>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</si>
  <si>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</si>
  <si>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</si>
  <si>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>HARRAHS NKC</t>
  </si>
  <si>
    <t>ISLE OF CAPRI - KC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</si>
  <si>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</si>
  <si>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</si>
  <si>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</si>
  <si>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</si>
  <si>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</si>
  <si>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</si>
  <si>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</si>
  <si>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</si>
  <si>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</si>
  <si>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</si>
  <si>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</si>
  <si>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</si>
  <si>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</si>
  <si>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</si>
  <si>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</si>
  <si>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</si>
  <si>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</si>
  <si>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</si>
  <si>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</si>
  <si>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</si>
  <si>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</si>
  <si>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>HARRAHS NORTH KC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</si>
  <si>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</si>
  <si>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</si>
  <si>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</si>
  <si>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</si>
  <si>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</si>
  <si>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</si>
  <si>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</si>
  <si>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</si>
  <si>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</si>
  <si>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</si>
  <si>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</si>
  <si>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</si>
  <si>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</si>
  <si>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</si>
  <si>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</si>
  <si>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LUMIERE PLACE</t>
  </si>
  <si>
    <t>IOC - LADY LUCK</t>
  </si>
  <si>
    <t>RIVER CITY</t>
  </si>
  <si>
    <t xml:space="preserve">RIVER CITY </t>
  </si>
  <si>
    <t xml:space="preserve">MARK TWAIN </t>
  </si>
  <si>
    <t xml:space="preserve">IOC - LADY LUCK </t>
  </si>
  <si>
    <t>IOC - CAPE GIRARDEAU</t>
  </si>
  <si>
    <t>HOLLYWOOD</t>
  </si>
  <si>
    <t>ST. JO FRONTIER</t>
  </si>
  <si>
    <t xml:space="preserve">ST. JO FRONTIER </t>
  </si>
  <si>
    <t xml:space="preserve">HOLLYWOOD </t>
  </si>
  <si>
    <t xml:space="preserve">IOC - CAPE GIRARDEAU </t>
  </si>
  <si>
    <t xml:space="preserve">LUMIERE PLACE </t>
  </si>
  <si>
    <t xml:space="preserve">FISCAL 2020 YTD ADMISSIONS, PATRONS AND AGR SUMMARY </t>
  </si>
  <si>
    <t>MONTH ENDED:   SEPTEMBER 30, 2019</t>
  </si>
  <si>
    <t>(as reported on the tax remittal database dtd 10/9/19)</t>
  </si>
  <si>
    <t>FOR THE MONTH ENDED:   SEPTEMBER 30, 2019</t>
  </si>
  <si>
    <t>THRU MONTH ENDED:   SEPTEMBER 30, 2019</t>
  </si>
  <si>
    <t>(as reported on the tax remittal database as of 10/9/19)</t>
  </si>
  <si>
    <t>THRU MONTH ENDED:    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</si>
</sst>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89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61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2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68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69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70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DATE(2019,7,1)</f>
        <v>43647</v>
      </c>
      <c r="C9" s="21">
        <v>273825</v>
      </c>
      <c r="D9" s="22">
        <v>261456</v>
      </c>
      <c r="E9" s="23">
        <f>(+C9-D9)/D9</f>
        <v>4.7308151275931708E-2</v>
      </c>
      <c r="F9" s="21">
        <f>+C9-121652</f>
        <v>152173</v>
      </c>
      <c r="G9" s="21">
        <f>+D9-122888</f>
        <v>138568</v>
      </c>
      <c r="H9" s="23">
        <f>(+F9-G9)/G9</f>
        <v>9.8182841637318857E-2</v>
      </c>
      <c r="I9" s="24">
        <f>K9/C9</f>
        <v>53.292755117319459</v>
      </c>
      <c r="J9" s="24">
        <f>K9/F9</f>
        <v>95.896700925919845</v>
      </c>
      <c r="K9" s="21">
        <v>14592888.67</v>
      </c>
      <c r="L9" s="21">
        <v>13375050.09</v>
      </c>
      <c r="M9" s="25">
        <f>(+K9-L9)/L9</f>
        <v>9.1053010777920759E-2</v>
      </c>
      <c r="N9" s="10"/>
      <c r="R9" s="2"/>
    </row>
    <row r="10" spans="1:18" ht="15.75" x14ac:dyDescent="0.25">
      <c r="A10" s="19"/>
      <c r="B10" s="20">
        <f>DATE(2019,8,1)</f>
        <v>43678</v>
      </c>
      <c r="C10" s="21">
        <v>276880</v>
      </c>
      <c r="D10" s="22">
        <v>266367</v>
      </c>
      <c r="E10" s="23">
        <f>(+C10-D10)/D10</f>
        <v>3.9468102279937078E-2</v>
      </c>
      <c r="F10" s="21">
        <f>+C10-123357</f>
        <v>153523</v>
      </c>
      <c r="G10" s="21">
        <f>+D10-122166</f>
        <v>144201</v>
      </c>
      <c r="H10" s="23">
        <f>(+F10-G10)/G10</f>
        <v>6.4645876242189718E-2</v>
      </c>
      <c r="I10" s="24">
        <f>K10/C10</f>
        <v>52.376661297312914</v>
      </c>
      <c r="J10" s="24">
        <f>K10/F10</f>
        <v>94.461741758563861</v>
      </c>
      <c r="K10" s="21">
        <v>14502049.98</v>
      </c>
      <c r="L10" s="21">
        <v>13957901.84</v>
      </c>
      <c r="M10" s="25">
        <f>(+K10-L10)/L10</f>
        <v>3.898495248337415E-2</v>
      </c>
      <c r="N10" s="10"/>
      <c r="R10" s="2"/>
    </row>
    <row r="11" spans="1:18" ht="15.75" x14ac:dyDescent="0.25">
      <c r="A11" s="19"/>
      <c r="B11" s="20">
        <f>DATE(2019,9,1)</f>
        <v>43709</v>
      </c>
      <c r="C11" s="21">
        <v>254028</v>
      </c>
      <c r="D11" s="22">
        <v>263613</v>
      </c>
      <c r="E11" s="23">
        <f>(+C11-D11)/D11</f>
        <v>-3.6360118810529071E-2</v>
      </c>
      <c r="F11" s="21">
        <f>+C11-112781</f>
        <v>141247</v>
      </c>
      <c r="G11" s="21">
        <f>+D11-122145</f>
        <v>141468</v>
      </c>
      <c r="H11" s="23">
        <f>(+F11-G11)/G11</f>
        <v>-1.56219074278282E-3</v>
      </c>
      <c r="I11" s="24">
        <f>K11/C11</f>
        <v>50.285363739430302</v>
      </c>
      <c r="J11" s="24">
        <f>K11/F11</f>
        <v>90.43654293542518</v>
      </c>
      <c r="K11" s="21">
        <v>12773890.380000001</v>
      </c>
      <c r="L11" s="21">
        <v>13536102.300000001</v>
      </c>
      <c r="M11" s="25">
        <f>(+K11-L11)/L11</f>
        <v>-5.6309556703039977E-2</v>
      </c>
      <c r="N11" s="10"/>
      <c r="R11" s="2"/>
    </row>
    <row r="12" spans="1:18" ht="15.75" customHeight="1" thickBot="1" x14ac:dyDescent="0.3">
      <c r="A12" s="19"/>
      <c r="B12" s="20"/>
      <c r="C12" s="21"/>
      <c r="D12" s="21"/>
      <c r="E12" s="23"/>
      <c r="F12" s="21"/>
      <c r="G12" s="21"/>
      <c r="H12" s="23"/>
      <c r="I12" s="24"/>
      <c r="J12" s="24"/>
      <c r="K12" s="21"/>
      <c r="L12" s="21"/>
      <c r="M12" s="25"/>
      <c r="N12" s="10"/>
      <c r="R12" s="2"/>
    </row>
    <row r="13" spans="1:18" ht="17.25" thickTop="1" thickBot="1" x14ac:dyDescent="0.3">
      <c r="A13" s="26" t="s">
        <v>14</v>
      </c>
      <c r="B13" s="27"/>
      <c r="C13" s="28">
        <f>SUM(C9:C12)</f>
        <v>804733</v>
      </c>
      <c r="D13" s="28">
        <f>SUM(D9:D12)</f>
        <v>791436</v>
      </c>
      <c r="E13" s="279">
        <f>(+C13-D13)/D13</f>
        <v>1.6801105837995746E-2</v>
      </c>
      <c r="F13" s="28">
        <f>SUM(F9:F12)</f>
        <v>446943</v>
      </c>
      <c r="G13" s="28">
        <f>SUM(G9:G12)</f>
        <v>424237</v>
      </c>
      <c r="H13" s="30">
        <f>(+F13-G13)/G13</f>
        <v>5.352197003090254E-2</v>
      </c>
      <c r="I13" s="31">
        <f>K13/C13</f>
        <v>52.028224305452866</v>
      </c>
      <c r="J13" s="31">
        <f>K13/F13</f>
        <v>93.67822972951808</v>
      </c>
      <c r="K13" s="28">
        <f>SUM(K9:K12)</f>
        <v>41868829.030000001</v>
      </c>
      <c r="L13" s="28">
        <f>SUM(L9:L12)</f>
        <v>40869054.230000004</v>
      </c>
      <c r="M13" s="32">
        <f>(+K13-L13)/L13</f>
        <v>2.4462880750152287E-2</v>
      </c>
      <c r="N13" s="10"/>
      <c r="R13" s="2"/>
    </row>
    <row r="14" spans="1:18" ht="15.75" customHeight="1" thickTop="1" x14ac:dyDescent="0.25">
      <c r="A14" s="15"/>
      <c r="B14" s="16"/>
      <c r="C14" s="16"/>
      <c r="D14" s="16"/>
      <c r="E14" s="17"/>
      <c r="F14" s="16"/>
      <c r="G14" s="16"/>
      <c r="H14" s="17"/>
      <c r="I14" s="16"/>
      <c r="J14" s="16"/>
      <c r="K14" s="195"/>
      <c r="L14" s="195"/>
      <c r="M14" s="18"/>
      <c r="N14" s="10"/>
      <c r="R14" s="2"/>
    </row>
    <row r="15" spans="1:18" ht="15.75" x14ac:dyDescent="0.25">
      <c r="A15" s="19" t="s">
        <v>15</v>
      </c>
      <c r="B15" s="20">
        <f>DATE(2019,7,1)</f>
        <v>43647</v>
      </c>
      <c r="C15" s="21">
        <v>128877</v>
      </c>
      <c r="D15" s="21">
        <v>142478</v>
      </c>
      <c r="E15" s="23">
        <f>(+C15-D15)/D15</f>
        <v>-9.5460351773607149E-2</v>
      </c>
      <c r="F15" s="21">
        <f>+C15-61988</f>
        <v>66889</v>
      </c>
      <c r="G15" s="21">
        <f>+D15-67444</f>
        <v>75034</v>
      </c>
      <c r="H15" s="23">
        <f>(+F15-G15)/G15</f>
        <v>-0.10855079030839353</v>
      </c>
      <c r="I15" s="24">
        <f>K15/C15</f>
        <v>54.055501214336154</v>
      </c>
      <c r="J15" s="24">
        <f>K15/F15</f>
        <v>104.15032112903467</v>
      </c>
      <c r="K15" s="21">
        <v>6966510.8300000001</v>
      </c>
      <c r="L15" s="21">
        <v>7374850.2599999998</v>
      </c>
      <c r="M15" s="25">
        <f>(+K15-L15)/L15</f>
        <v>-5.5369182505950937E-2</v>
      </c>
      <c r="N15" s="10"/>
      <c r="R15" s="2"/>
    </row>
    <row r="16" spans="1:18" ht="15.75" x14ac:dyDescent="0.25">
      <c r="A16" s="19"/>
      <c r="B16" s="20">
        <f>DATE(2019,8,1)</f>
        <v>43678</v>
      </c>
      <c r="C16" s="21">
        <v>130133</v>
      </c>
      <c r="D16" s="21">
        <v>137794</v>
      </c>
      <c r="E16" s="23">
        <f>(+C16-D16)/D16</f>
        <v>-5.5597486102442778E-2</v>
      </c>
      <c r="F16" s="21">
        <f>+C16-62200</f>
        <v>67933</v>
      </c>
      <c r="G16" s="21">
        <f>+D16-65911</f>
        <v>71883</v>
      </c>
      <c r="H16" s="23">
        <f>(+F16-G16)/G16</f>
        <v>-5.4950405520081243E-2</v>
      </c>
      <c r="I16" s="24">
        <f>K16/C16</f>
        <v>53.532999700306604</v>
      </c>
      <c r="J16" s="24">
        <f>K16/F16</f>
        <v>102.54824385791882</v>
      </c>
      <c r="K16" s="21">
        <v>6966409.8499999996</v>
      </c>
      <c r="L16" s="21">
        <v>7098601.2599999998</v>
      </c>
      <c r="M16" s="25">
        <f>(+K16-L16)/L16</f>
        <v>-1.862217712451145E-2</v>
      </c>
      <c r="N16" s="10"/>
      <c r="R16" s="2"/>
    </row>
    <row r="17" spans="1:18" ht="15.75" x14ac:dyDescent="0.25">
      <c r="A17" s="19"/>
      <c r="B17" s="20">
        <f>DATE(2019,9,1)</f>
        <v>43709</v>
      </c>
      <c r="C17" s="21">
        <v>118251</v>
      </c>
      <c r="D17" s="21">
        <v>137262</v>
      </c>
      <c r="E17" s="23">
        <f>(+C17-D17)/D17</f>
        <v>-0.13850155177689383</v>
      </c>
      <c r="F17" s="21">
        <f>+C17-55723</f>
        <v>62528</v>
      </c>
      <c r="G17" s="21">
        <f>+D17-65092</f>
        <v>72170</v>
      </c>
      <c r="H17" s="23">
        <f>(+F17-G17)/G17</f>
        <v>-0.13360121934321739</v>
      </c>
      <c r="I17" s="24">
        <f>K17/C17</f>
        <v>54.246988186146417</v>
      </c>
      <c r="J17" s="24">
        <f>K17/F17</f>
        <v>102.59020918628454</v>
      </c>
      <c r="K17" s="21">
        <v>6414760.5999999996</v>
      </c>
      <c r="L17" s="21">
        <v>6514977.2199999997</v>
      </c>
      <c r="M17" s="25">
        <f>(+K17-L17)/L17</f>
        <v>-1.5382497377327763E-2</v>
      </c>
      <c r="N17" s="10"/>
      <c r="R17" s="2"/>
    </row>
    <row r="18" spans="1:18" ht="15.75" customHeight="1" thickBot="1" x14ac:dyDescent="0.3">
      <c r="A18" s="19"/>
      <c r="B18" s="20"/>
      <c r="C18" s="21"/>
      <c r="D18" s="21"/>
      <c r="E18" s="23"/>
      <c r="F18" s="21"/>
      <c r="G18" s="21"/>
      <c r="H18" s="23"/>
      <c r="I18" s="24"/>
      <c r="J18" s="24"/>
      <c r="K18" s="21"/>
      <c r="L18" s="21"/>
      <c r="M18" s="25"/>
      <c r="N18" s="10"/>
      <c r="R18" s="2"/>
    </row>
    <row r="19" spans="1:18" ht="17.25" customHeight="1" thickTop="1" thickBot="1" x14ac:dyDescent="0.3">
      <c r="A19" s="26" t="s">
        <v>14</v>
      </c>
      <c r="B19" s="27"/>
      <c r="C19" s="28">
        <f>SUM(C15:C18)</f>
        <v>377261</v>
      </c>
      <c r="D19" s="28">
        <f>SUM(D15:D18)</f>
        <v>417534</v>
      </c>
      <c r="E19" s="279">
        <f>(+C19-D19)/D19</f>
        <v>-9.6454420478332303E-2</v>
      </c>
      <c r="F19" s="28">
        <f>SUM(F15:F18)</f>
        <v>197350</v>
      </c>
      <c r="G19" s="28">
        <f>SUM(G15:G18)</f>
        <v>219087</v>
      </c>
      <c r="H19" s="30">
        <f>(+F19-G19)/G19</f>
        <v>-9.9216293070789233E-2</v>
      </c>
      <c r="I19" s="31">
        <f>K19/C19</f>
        <v>53.935289574061464</v>
      </c>
      <c r="J19" s="31">
        <f>K19/F19</f>
        <v>103.10454157588042</v>
      </c>
      <c r="K19" s="28">
        <f>SUM(K15:K18)</f>
        <v>20347681.280000001</v>
      </c>
      <c r="L19" s="28">
        <f>SUM(L15:L18)</f>
        <v>20988428.739999998</v>
      </c>
      <c r="M19" s="32">
        <f>(+K19-L19)/L19</f>
        <v>-3.0528605449099341E-2</v>
      </c>
      <c r="N19" s="10"/>
      <c r="R19" s="2"/>
    </row>
    <row r="20" spans="1:18" ht="15.75" customHeight="1" thickTop="1" x14ac:dyDescent="0.25">
      <c r="A20" s="33"/>
      <c r="B20" s="34"/>
      <c r="C20" s="35"/>
      <c r="D20" s="35"/>
      <c r="E20" s="29"/>
      <c r="F20" s="35"/>
      <c r="G20" s="35"/>
      <c r="H20" s="29"/>
      <c r="I20" s="36"/>
      <c r="J20" s="36"/>
      <c r="K20" s="35"/>
      <c r="L20" s="35"/>
      <c r="M20" s="37"/>
      <c r="N20" s="10"/>
      <c r="R20" s="2"/>
    </row>
    <row r="21" spans="1:18" ht="15.75" customHeight="1" x14ac:dyDescent="0.25">
      <c r="A21" s="19" t="s">
        <v>56</v>
      </c>
      <c r="B21" s="20">
        <f>DATE(2019,7,1)</f>
        <v>43647</v>
      </c>
      <c r="C21" s="21">
        <v>66863</v>
      </c>
      <c r="D21" s="21">
        <v>72910</v>
      </c>
      <c r="E21" s="23">
        <f>(+C21-D21)/D21</f>
        <v>-8.2937868605129611E-2</v>
      </c>
      <c r="F21" s="21">
        <f>+C21-35722</f>
        <v>31141</v>
      </c>
      <c r="G21" s="21">
        <f>+D21-39365</f>
        <v>33545</v>
      </c>
      <c r="H21" s="23">
        <f>(+F21-G21)/G21</f>
        <v>-7.1664927709047546E-2</v>
      </c>
      <c r="I21" s="24">
        <f>K21/C21</f>
        <v>48.763183973198927</v>
      </c>
      <c r="J21" s="24">
        <f>K21/F21</f>
        <v>104.69968112777367</v>
      </c>
      <c r="K21" s="21">
        <v>3260452.77</v>
      </c>
      <c r="L21" s="21">
        <v>3264963.85</v>
      </c>
      <c r="M21" s="25">
        <f>(+K21-L21)/L21</f>
        <v>-1.3816630772190859E-3</v>
      </c>
      <c r="N21" s="10"/>
      <c r="R21" s="2"/>
    </row>
    <row r="22" spans="1:18" ht="15.75" customHeight="1" x14ac:dyDescent="0.25">
      <c r="A22" s="19"/>
      <c r="B22" s="20">
        <f>DATE(2019,8,1)</f>
        <v>43678</v>
      </c>
      <c r="C22" s="21">
        <v>69025</v>
      </c>
      <c r="D22" s="21">
        <v>70574</v>
      </c>
      <c r="E22" s="23">
        <f>(+C22-D22)/D22</f>
        <v>-2.1948592966248192E-2</v>
      </c>
      <c r="F22" s="21">
        <f>+C22-37871</f>
        <v>31154</v>
      </c>
      <c r="G22" s="21">
        <f>+D22-38367</f>
        <v>32207</v>
      </c>
      <c r="H22" s="23">
        <f>(+F22-G22)/G22</f>
        <v>-3.2694755798428912E-2</v>
      </c>
      <c r="I22" s="24">
        <f>K22/C22</f>
        <v>46.687241434262944</v>
      </c>
      <c r="J22" s="24">
        <f>K22/F22</f>
        <v>103.4405482442062</v>
      </c>
      <c r="K22" s="21">
        <v>3222586.84</v>
      </c>
      <c r="L22" s="21">
        <v>3124652.26</v>
      </c>
      <c r="M22" s="25">
        <f>(+K22-L22)/L22</f>
        <v>3.1342553299034973E-2</v>
      </c>
      <c r="N22" s="10"/>
      <c r="R22" s="2"/>
    </row>
    <row r="23" spans="1:18" ht="15.75" customHeight="1" x14ac:dyDescent="0.25">
      <c r="A23" s="19"/>
      <c r="B23" s="20">
        <f>DATE(2019,9,1)</f>
        <v>43709</v>
      </c>
      <c r="C23" s="21">
        <v>65573</v>
      </c>
      <c r="D23" s="21">
        <v>68201</v>
      </c>
      <c r="E23" s="23">
        <f>(+C23-D23)/D23</f>
        <v>-3.8533159337839622E-2</v>
      </c>
      <c r="F23" s="21">
        <f>+C23-35939</f>
        <v>29634</v>
      </c>
      <c r="G23" s="21">
        <f>+D23-36459</f>
        <v>31742</v>
      </c>
      <c r="H23" s="23">
        <f>(+F23-G23)/G23</f>
        <v>-6.6410434125133894E-2</v>
      </c>
      <c r="I23" s="24">
        <f>K23/C23</f>
        <v>47.458679486983975</v>
      </c>
      <c r="J23" s="24">
        <f>K23/F23</f>
        <v>105.01477998245259</v>
      </c>
      <c r="K23" s="21">
        <v>3112007.99</v>
      </c>
      <c r="L23" s="21">
        <v>3126829.64</v>
      </c>
      <c r="M23" s="25">
        <f>(+K23-L23)/L23</f>
        <v>-4.7401527126370423E-3</v>
      </c>
      <c r="N23" s="10"/>
      <c r="R23" s="2"/>
    </row>
    <row r="24" spans="1:18" ht="15.75" customHeight="1" thickBot="1" x14ac:dyDescent="0.25">
      <c r="A24" s="38"/>
      <c r="B24" s="20"/>
      <c r="C24" s="21"/>
      <c r="D24" s="21"/>
      <c r="E24" s="23"/>
      <c r="F24" s="21"/>
      <c r="G24" s="21"/>
      <c r="H24" s="23"/>
      <c r="I24" s="24"/>
      <c r="J24" s="24"/>
      <c r="K24" s="21"/>
      <c r="L24" s="21"/>
      <c r="M24" s="25"/>
      <c r="N24" s="10"/>
      <c r="R24" s="2"/>
    </row>
    <row r="25" spans="1:18" ht="17.25" customHeight="1" thickTop="1" thickBot="1" x14ac:dyDescent="0.3">
      <c r="A25" s="39" t="s">
        <v>14</v>
      </c>
      <c r="B25" s="40"/>
      <c r="C25" s="41">
        <f>SUM(C21:C24)</f>
        <v>201461</v>
      </c>
      <c r="D25" s="41">
        <f>SUM(D21:D24)</f>
        <v>211685</v>
      </c>
      <c r="E25" s="280">
        <f>(+C25-D25)/D25</f>
        <v>-4.8298178897890731E-2</v>
      </c>
      <c r="F25" s="41">
        <f>SUM(F21:F24)</f>
        <v>91929</v>
      </c>
      <c r="G25" s="41">
        <f>SUM(G21:G24)</f>
        <v>97494</v>
      </c>
      <c r="H25" s="42">
        <f>(+F25-G25)/G25</f>
        <v>-5.7080435719121178E-2</v>
      </c>
      <c r="I25" s="43">
        <f>K25/C25</f>
        <v>47.627320424300486</v>
      </c>
      <c r="J25" s="43">
        <f>K25/F25</f>
        <v>104.37454557321411</v>
      </c>
      <c r="K25" s="41">
        <f>SUM(K21:K24)</f>
        <v>9595047.5999999996</v>
      </c>
      <c r="L25" s="41">
        <f>SUM(L21:L24)</f>
        <v>9516445.75</v>
      </c>
      <c r="M25" s="44">
        <f>(+K25-L25)/L25</f>
        <v>8.2595805266897707E-3</v>
      </c>
      <c r="N25" s="10"/>
      <c r="R25" s="2"/>
    </row>
    <row r="26" spans="1:18" ht="15.75" customHeight="1" thickTop="1" x14ac:dyDescent="0.2">
      <c r="A26" s="38"/>
      <c r="B26" s="45"/>
      <c r="C26" s="21"/>
      <c r="D26" s="21"/>
      <c r="E26" s="23"/>
      <c r="F26" s="21"/>
      <c r="G26" s="21"/>
      <c r="H26" s="23"/>
      <c r="I26" s="24"/>
      <c r="J26" s="24"/>
      <c r="K26" s="21"/>
      <c r="L26" s="21"/>
      <c r="M26" s="25"/>
      <c r="N26" s="10"/>
      <c r="R26" s="2"/>
    </row>
    <row r="27" spans="1:18" ht="15.75" customHeight="1" x14ac:dyDescent="0.25">
      <c r="A27" s="177" t="s">
        <v>65</v>
      </c>
      <c r="B27" s="20">
        <f>DATE(2019,7,1)</f>
        <v>43647</v>
      </c>
      <c r="C27" s="21">
        <v>438217</v>
      </c>
      <c r="D27" s="21">
        <v>465892</v>
      </c>
      <c r="E27" s="23">
        <f>(+C27-D27)/D27</f>
        <v>-5.9402179045787436E-2</v>
      </c>
      <c r="F27" s="21">
        <f>+C27-221917</f>
        <v>216300</v>
      </c>
      <c r="G27" s="21">
        <f>+D27-233751</f>
        <v>232141</v>
      </c>
      <c r="H27" s="23">
        <f>(+F27-G27)/G27</f>
        <v>-6.8238699755751892E-2</v>
      </c>
      <c r="I27" s="24">
        <f>K27/C27</f>
        <v>46.659625824648522</v>
      </c>
      <c r="J27" s="24">
        <f>K27/F27</f>
        <v>94.530935043920479</v>
      </c>
      <c r="K27" s="21">
        <v>20447041.25</v>
      </c>
      <c r="L27" s="21">
        <v>20180093.420000002</v>
      </c>
      <c r="M27" s="25">
        <f>(+K27-L27)/L27</f>
        <v>1.3228275233623681E-2</v>
      </c>
      <c r="N27" s="10"/>
      <c r="R27" s="2"/>
    </row>
    <row r="28" spans="1:18" ht="15.75" customHeight="1" x14ac:dyDescent="0.25">
      <c r="A28" s="177"/>
      <c r="B28" s="20">
        <f>DATE(2019,8,1)</f>
        <v>43678</v>
      </c>
      <c r="C28" s="21">
        <v>437029</v>
      </c>
      <c r="D28" s="21">
        <v>454572</v>
      </c>
      <c r="E28" s="23">
        <f>(+C28-D28)/D28</f>
        <v>-3.8592346206981515E-2</v>
      </c>
      <c r="F28" s="21">
        <f>+C28-215022</f>
        <v>222007</v>
      </c>
      <c r="G28" s="21">
        <f>+D28-227733</f>
        <v>226839</v>
      </c>
      <c r="H28" s="23">
        <f>(+F28-G28)/G28</f>
        <v>-2.1301451690405971E-2</v>
      </c>
      <c r="I28" s="24">
        <f>K28/C28</f>
        <v>48.822521114159471</v>
      </c>
      <c r="J28" s="24">
        <f>K28/F28</f>
        <v>96.108940618989479</v>
      </c>
      <c r="K28" s="21">
        <v>21336857.579999998</v>
      </c>
      <c r="L28" s="21">
        <v>20410400.739999998</v>
      </c>
      <c r="M28" s="25">
        <f>(+K28-L28)/L28</f>
        <v>4.5391408615723237E-2</v>
      </c>
      <c r="N28" s="10"/>
      <c r="R28" s="2"/>
    </row>
    <row r="29" spans="1:18" ht="15.75" customHeight="1" x14ac:dyDescent="0.25">
      <c r="A29" s="177"/>
      <c r="B29" s="20">
        <f>DATE(2019,9,1)</f>
        <v>43709</v>
      </c>
      <c r="C29" s="21">
        <v>403849</v>
      </c>
      <c r="D29" s="21">
        <v>400695</v>
      </c>
      <c r="E29" s="23">
        <f>(+C29-D29)/D29</f>
        <v>7.8713235752879366E-3</v>
      </c>
      <c r="F29" s="21">
        <f>+C29-198275</f>
        <v>205574</v>
      </c>
      <c r="G29" s="21">
        <f>+D29-202275</f>
        <v>198420</v>
      </c>
      <c r="H29" s="23">
        <f>(+F29-G29)/G29</f>
        <v>3.6054833182138896E-2</v>
      </c>
      <c r="I29" s="24">
        <f>K29/C29</f>
        <v>46.879226914019846</v>
      </c>
      <c r="J29" s="24">
        <f>K29/F29</f>
        <v>92.093985182951158</v>
      </c>
      <c r="K29" s="21">
        <v>18932128.91</v>
      </c>
      <c r="L29" s="21">
        <v>19424363</v>
      </c>
      <c r="M29" s="25">
        <f>(+K29-L29)/L29</f>
        <v>-2.5341067297805331E-2</v>
      </c>
      <c r="N29" s="10"/>
      <c r="R29" s="2"/>
    </row>
    <row r="30" spans="1:18" ht="15.75" thickBot="1" x14ac:dyDescent="0.25">
      <c r="A30" s="38"/>
      <c r="B30" s="45"/>
      <c r="C30" s="21"/>
      <c r="D30" s="21"/>
      <c r="E30" s="23"/>
      <c r="F30" s="21"/>
      <c r="G30" s="21"/>
      <c r="H30" s="23"/>
      <c r="I30" s="24"/>
      <c r="J30" s="24"/>
      <c r="K30" s="21"/>
      <c r="L30" s="21"/>
      <c r="M30" s="25"/>
      <c r="N30" s="10"/>
      <c r="R30" s="2"/>
    </row>
    <row r="31" spans="1:18" ht="17.25" thickTop="1" thickBot="1" x14ac:dyDescent="0.3">
      <c r="A31" s="39" t="s">
        <v>14</v>
      </c>
      <c r="B31" s="40"/>
      <c r="C31" s="41">
        <f>SUM(C27:C30)</f>
        <v>1279095</v>
      </c>
      <c r="D31" s="41">
        <f>SUM(D27:D30)</f>
        <v>1321159</v>
      </c>
      <c r="E31" s="280">
        <f>(+C31-D31)/D31</f>
        <v>-3.1838711313324136E-2</v>
      </c>
      <c r="F31" s="41">
        <f>SUM(F27:F30)</f>
        <v>643881</v>
      </c>
      <c r="G31" s="41">
        <f>SUM(G27:G30)</f>
        <v>657400</v>
      </c>
      <c r="H31" s="42">
        <f>(+F31-G31)/G31</f>
        <v>-2.056434438697901E-2</v>
      </c>
      <c r="I31" s="43">
        <f>K31/C31</f>
        <v>47.467958001555786</v>
      </c>
      <c r="J31" s="43">
        <f>K31/F31</f>
        <v>94.296970620347537</v>
      </c>
      <c r="K31" s="41">
        <f>SUM(K27:K30)</f>
        <v>60716027.739999995</v>
      </c>
      <c r="L31" s="41">
        <f>SUM(L27:L30)</f>
        <v>60014857.159999996</v>
      </c>
      <c r="M31" s="44">
        <f>(+K31-L31)/L31</f>
        <v>1.168328332650485E-2</v>
      </c>
      <c r="N31" s="10"/>
      <c r="R31" s="2"/>
    </row>
    <row r="32" spans="1:18" ht="15.75" thickTop="1" x14ac:dyDescent="0.2">
      <c r="A32" s="38"/>
      <c r="B32" s="45"/>
      <c r="C32" s="21"/>
      <c r="D32" s="21"/>
      <c r="E32" s="23"/>
      <c r="F32" s="21"/>
      <c r="G32" s="21"/>
      <c r="H32" s="23"/>
      <c r="I32" s="24"/>
      <c r="J32" s="24"/>
      <c r="K32" s="21"/>
      <c r="L32" s="21"/>
      <c r="M32" s="25"/>
      <c r="N32" s="10"/>
      <c r="R32" s="2"/>
    </row>
    <row r="33" spans="1:18" ht="15.75" x14ac:dyDescent="0.25">
      <c r="A33" s="19" t="s">
        <v>16</v>
      </c>
      <c r="B33" s="20">
        <f>DATE(2019,7,1)</f>
        <v>43647</v>
      </c>
      <c r="C33" s="21">
        <v>288759</v>
      </c>
      <c r="D33" s="21">
        <v>289167</v>
      </c>
      <c r="E33" s="23">
        <f>(+C33-D33)/D33</f>
        <v>-1.410949382190914E-3</v>
      </c>
      <c r="F33" s="21">
        <f>+C33-131177</f>
        <v>157582</v>
      </c>
      <c r="G33" s="21">
        <f>+D33-134357</f>
        <v>154810</v>
      </c>
      <c r="H33" s="23">
        <f>(+F33-G33)/G33</f>
        <v>1.790582003746528E-2</v>
      </c>
      <c r="I33" s="24">
        <f>K33/C33</f>
        <v>48.751639741098977</v>
      </c>
      <c r="J33" s="24">
        <f>K33/F33</f>
        <v>89.334281453465493</v>
      </c>
      <c r="K33" s="21">
        <v>14077474.74</v>
      </c>
      <c r="L33" s="21">
        <v>14895059.23</v>
      </c>
      <c r="M33" s="25">
        <f>(+K33-L33)/L33</f>
        <v>-5.4889643429769715E-2</v>
      </c>
      <c r="N33" s="10"/>
      <c r="R33" s="2"/>
    </row>
    <row r="34" spans="1:18" ht="15.75" x14ac:dyDescent="0.25">
      <c r="A34" s="19"/>
      <c r="B34" s="20">
        <f>DATE(2019,8,1)</f>
        <v>43678</v>
      </c>
      <c r="C34" s="21">
        <v>292957</v>
      </c>
      <c r="D34" s="21">
        <v>292132</v>
      </c>
      <c r="E34" s="23">
        <f>(+C34-D34)/D34</f>
        <v>2.8240658332534608E-3</v>
      </c>
      <c r="F34" s="21">
        <f>+C34-131852</f>
        <v>161105</v>
      </c>
      <c r="G34" s="21">
        <f>+D34-136807</f>
        <v>155325</v>
      </c>
      <c r="H34" s="23">
        <f>(+F34-G34)/G34</f>
        <v>3.7212296797038469E-2</v>
      </c>
      <c r="I34" s="24">
        <f>K34/C34</f>
        <v>53.183119911795927</v>
      </c>
      <c r="J34" s="24">
        <f>K34/F34</f>
        <v>96.709396108128232</v>
      </c>
      <c r="K34" s="21">
        <v>15580367.26</v>
      </c>
      <c r="L34" s="21">
        <v>14589427.75</v>
      </c>
      <c r="M34" s="25">
        <f>(+K34-L34)/L34</f>
        <v>6.7921753133874621E-2</v>
      </c>
      <c r="N34" s="10"/>
      <c r="R34" s="2"/>
    </row>
    <row r="35" spans="1:18" ht="15.75" x14ac:dyDescent="0.25">
      <c r="A35" s="19"/>
      <c r="B35" s="20">
        <f>DATE(2019,9,1)</f>
        <v>43709</v>
      </c>
      <c r="C35" s="21">
        <v>276713</v>
      </c>
      <c r="D35" s="21">
        <v>292955</v>
      </c>
      <c r="E35" s="23">
        <f>(+C35-D35)/D35</f>
        <v>-5.5441962076086773E-2</v>
      </c>
      <c r="F35" s="21">
        <f>+C35-125818</f>
        <v>150895</v>
      </c>
      <c r="G35" s="21">
        <f>+D35-135433</f>
        <v>157522</v>
      </c>
      <c r="H35" s="23">
        <f>(+F35-G35)/G35</f>
        <v>-4.2070313987887409E-2</v>
      </c>
      <c r="I35" s="24">
        <f>K35/C35</f>
        <v>52.918303368472031</v>
      </c>
      <c r="J35" s="24">
        <f>K35/F35</f>
        <v>97.042198084760926</v>
      </c>
      <c r="K35" s="21">
        <v>14643182.48</v>
      </c>
      <c r="L35" s="21">
        <v>15232551.26</v>
      </c>
      <c r="M35" s="25">
        <f>(+K35-L35)/L35</f>
        <v>-3.8691403031589029E-2</v>
      </c>
      <c r="N35" s="10"/>
      <c r="R35" s="2"/>
    </row>
    <row r="36" spans="1:18" ht="15.75" thickBot="1" x14ac:dyDescent="0.25">
      <c r="A36" s="38"/>
      <c r="B36" s="20"/>
      <c r="C36" s="21"/>
      <c r="D36" s="21"/>
      <c r="E36" s="23"/>
      <c r="F36" s="21"/>
      <c r="G36" s="21"/>
      <c r="H36" s="23"/>
      <c r="I36" s="24"/>
      <c r="J36" s="24"/>
      <c r="K36" s="21"/>
      <c r="L36" s="21"/>
      <c r="M36" s="25"/>
      <c r="N36" s="10"/>
      <c r="R36" s="2"/>
    </row>
    <row r="37" spans="1:18" ht="17.25" thickTop="1" thickBot="1" x14ac:dyDescent="0.3">
      <c r="A37" s="39" t="s">
        <v>14</v>
      </c>
      <c r="B37" s="40"/>
      <c r="C37" s="41">
        <f>SUM(C33:C36)</f>
        <v>858429</v>
      </c>
      <c r="D37" s="41">
        <f>SUM(D33:D36)</f>
        <v>874254</v>
      </c>
      <c r="E37" s="281">
        <f>(+C37-D37)/D37</f>
        <v>-1.8101146806305719E-2</v>
      </c>
      <c r="F37" s="47">
        <f>SUM(F33:F36)</f>
        <v>469582</v>
      </c>
      <c r="G37" s="48">
        <f>SUM(G33:G36)</f>
        <v>467657</v>
      </c>
      <c r="H37" s="49">
        <f>(+F37-G37)/G37</f>
        <v>4.1162646982724517E-3</v>
      </c>
      <c r="I37" s="50">
        <f>K37/C37</f>
        <v>51.607092118276533</v>
      </c>
      <c r="J37" s="51">
        <f>K37/F37</f>
        <v>94.34140252394684</v>
      </c>
      <c r="K37" s="48">
        <f>SUM(K33:K36)</f>
        <v>44301024.480000004</v>
      </c>
      <c r="L37" s="47">
        <f>SUM(L33:L36)</f>
        <v>44717038.240000002</v>
      </c>
      <c r="M37" s="44">
        <f>(+K37-L37)/L37</f>
        <v>-9.3032494184256583E-3</v>
      </c>
      <c r="N37" s="10"/>
      <c r="R37" s="2"/>
    </row>
    <row r="38" spans="1:18" ht="15.75" customHeight="1" thickTop="1" x14ac:dyDescent="0.25">
      <c r="A38" s="273"/>
      <c r="B38" s="45"/>
      <c r="C38" s="21"/>
      <c r="D38" s="21"/>
      <c r="E38" s="23"/>
      <c r="F38" s="21"/>
      <c r="G38" s="21"/>
      <c r="H38" s="23"/>
      <c r="I38" s="24"/>
      <c r="J38" s="24"/>
      <c r="K38" s="21"/>
      <c r="L38" s="21"/>
      <c r="M38" s="25"/>
      <c r="N38" s="10"/>
      <c r="R38" s="2"/>
    </row>
    <row r="39" spans="1:18" ht="15.75" x14ac:dyDescent="0.25">
      <c r="A39" s="274" t="s">
        <v>66</v>
      </c>
      <c r="B39" s="20">
        <f>DATE(2019,7,1)</f>
        <v>43647</v>
      </c>
      <c r="C39" s="21">
        <v>110928</v>
      </c>
      <c r="D39" s="21">
        <v>129160</v>
      </c>
      <c r="E39" s="23">
        <f>(+C39-D39)/D39</f>
        <v>-0.14115825332920409</v>
      </c>
      <c r="F39" s="21">
        <f>+C39-54910</f>
        <v>56018</v>
      </c>
      <c r="G39" s="21">
        <f>+D39-62596</f>
        <v>66564</v>
      </c>
      <c r="H39" s="23">
        <f>(+F39-G39)/G39</f>
        <v>-0.15843398834204675</v>
      </c>
      <c r="I39" s="24">
        <f>K39/C39</f>
        <v>40.178847450598589</v>
      </c>
      <c r="J39" s="24">
        <f>K39/F39</f>
        <v>79.562983148273773</v>
      </c>
      <c r="K39" s="21">
        <v>4456959.1900000004</v>
      </c>
      <c r="L39" s="21">
        <v>5218892.55</v>
      </c>
      <c r="M39" s="25">
        <f>(+K39-L39)/L39</f>
        <v>-0.14599521885155489</v>
      </c>
      <c r="N39" s="10"/>
      <c r="R39" s="2"/>
    </row>
    <row r="40" spans="1:18" ht="15.75" x14ac:dyDescent="0.25">
      <c r="A40" s="274"/>
      <c r="B40" s="20">
        <f>DATE(2019,8,1)</f>
        <v>43678</v>
      </c>
      <c r="C40" s="21">
        <v>114308</v>
      </c>
      <c r="D40" s="21">
        <v>120860</v>
      </c>
      <c r="E40" s="23">
        <f>(+C40-D40)/D40</f>
        <v>-5.4211484362071821E-2</v>
      </c>
      <c r="F40" s="21">
        <f>+C40-54234</f>
        <v>60074</v>
      </c>
      <c r="G40" s="21">
        <f>+D40-58336</f>
        <v>62524</v>
      </c>
      <c r="H40" s="23">
        <f>(+F40-G40)/G40</f>
        <v>-3.918495297805643E-2</v>
      </c>
      <c r="I40" s="24">
        <f>K40/C40</f>
        <v>45.628914424187286</v>
      </c>
      <c r="J40" s="24">
        <f>K40/F40</f>
        <v>86.822085261510807</v>
      </c>
      <c r="K40" s="21">
        <v>5215749.95</v>
      </c>
      <c r="L40" s="21">
        <v>5263252.67</v>
      </c>
      <c r="M40" s="25">
        <f>(+K40-L40)/L40</f>
        <v>-9.025354277737865E-3</v>
      </c>
      <c r="N40" s="10"/>
      <c r="R40" s="2"/>
    </row>
    <row r="41" spans="1:18" ht="15.75" x14ac:dyDescent="0.25">
      <c r="A41" s="274"/>
      <c r="B41" s="20">
        <f>DATE(2019,9,1)</f>
        <v>43709</v>
      </c>
      <c r="C41" s="21">
        <v>108549</v>
      </c>
      <c r="D41" s="21">
        <v>129571</v>
      </c>
      <c r="E41" s="23">
        <f>(+C41-D41)/D41</f>
        <v>-0.162243094519607</v>
      </c>
      <c r="F41" s="21">
        <f>+C41-53174</f>
        <v>55375</v>
      </c>
      <c r="G41" s="21">
        <f>+D41-62477</f>
        <v>67094</v>
      </c>
      <c r="H41" s="23">
        <f>(+F41-G41)/G41</f>
        <v>-0.17466539481920887</v>
      </c>
      <c r="I41" s="24">
        <f>K41/C41</f>
        <v>46.703596716690157</v>
      </c>
      <c r="J41" s="24">
        <f>K41/F41</f>
        <v>91.550857246049659</v>
      </c>
      <c r="K41" s="21">
        <v>5069628.72</v>
      </c>
      <c r="L41" s="21">
        <v>5057302.72</v>
      </c>
      <c r="M41" s="25">
        <f>(+K41-L41)/L41</f>
        <v>2.4372675875728475E-3</v>
      </c>
      <c r="N41" s="10"/>
      <c r="R41" s="2"/>
    </row>
    <row r="42" spans="1:18" ht="15.75" customHeight="1" thickBot="1" x14ac:dyDescent="0.3">
      <c r="A42" s="19"/>
      <c r="B42" s="20"/>
      <c r="C42" s="21"/>
      <c r="D42" s="21"/>
      <c r="E42" s="23"/>
      <c r="F42" s="21"/>
      <c r="G42" s="21"/>
      <c r="H42" s="23"/>
      <c r="I42" s="24"/>
      <c r="J42" s="24"/>
      <c r="K42" s="21"/>
      <c r="L42" s="21"/>
      <c r="M42" s="25"/>
      <c r="N42" s="10"/>
      <c r="R42" s="2"/>
    </row>
    <row r="43" spans="1:18" ht="17.45" customHeight="1" thickTop="1" thickBot="1" x14ac:dyDescent="0.3">
      <c r="A43" s="39" t="s">
        <v>14</v>
      </c>
      <c r="B43" s="52"/>
      <c r="C43" s="47">
        <f>SUM(C39:C42)</f>
        <v>333785</v>
      </c>
      <c r="D43" s="48">
        <f>SUM(D39:D42)</f>
        <v>379591</v>
      </c>
      <c r="E43" s="281">
        <f>(+C43-D43)/D43</f>
        <v>-0.12067198642749696</v>
      </c>
      <c r="F43" s="48">
        <f>SUM(F39:F42)</f>
        <v>171467</v>
      </c>
      <c r="G43" s="47">
        <f>SUM(G39:G42)</f>
        <v>196182</v>
      </c>
      <c r="H43" s="46">
        <f>(+F43-G43)/G43</f>
        <v>-0.12597995738650844</v>
      </c>
      <c r="I43" s="51">
        <f>K43/C43</f>
        <v>44.167167068622014</v>
      </c>
      <c r="J43" s="50">
        <f>K43/F43</f>
        <v>85.977697516140125</v>
      </c>
      <c r="K43" s="47">
        <f>SUM(K39:K42)</f>
        <v>14742337.859999999</v>
      </c>
      <c r="L43" s="48">
        <f>SUM(L39:L42)</f>
        <v>15539447.939999998</v>
      </c>
      <c r="M43" s="44">
        <f>(+K43-L43)/L43</f>
        <v>-5.1295907234140667E-2</v>
      </c>
      <c r="N43" s="10"/>
      <c r="R43" s="2"/>
    </row>
    <row r="44" spans="1:18" ht="15.75" customHeight="1" thickTop="1" x14ac:dyDescent="0.25">
      <c r="A44" s="19"/>
      <c r="B44" s="45"/>
      <c r="C44" s="21"/>
      <c r="D44" s="21"/>
      <c r="E44" s="23"/>
      <c r="F44" s="21"/>
      <c r="G44" s="21"/>
      <c r="H44" s="23"/>
      <c r="I44" s="24"/>
      <c r="J44" s="24"/>
      <c r="K44" s="21"/>
      <c r="L44" s="21"/>
      <c r="M44" s="25"/>
      <c r="N44" s="10"/>
      <c r="R44" s="2"/>
    </row>
    <row r="45" spans="1:18" ht="15.75" x14ac:dyDescent="0.25">
      <c r="A45" s="19" t="s">
        <v>17</v>
      </c>
      <c r="B45" s="20">
        <f>DATE(2019,7,1)</f>
        <v>43647</v>
      </c>
      <c r="C45" s="21">
        <v>151411</v>
      </c>
      <c r="D45" s="21">
        <v>164240</v>
      </c>
      <c r="E45" s="23">
        <f>(+C45-D45)/D45</f>
        <v>-7.8111300535801273E-2</v>
      </c>
      <c r="F45" s="21">
        <f>+C45-71749</f>
        <v>79662</v>
      </c>
      <c r="G45" s="21">
        <f>+D45-78084</f>
        <v>86156</v>
      </c>
      <c r="H45" s="23">
        <f>(+F45-G45)/G45</f>
        <v>-7.5374901341752176E-2</v>
      </c>
      <c r="I45" s="24">
        <f>K45/C45</f>
        <v>34.630094246785241</v>
      </c>
      <c r="J45" s="24">
        <f>K45/F45</f>
        <v>65.82030579197108</v>
      </c>
      <c r="K45" s="21">
        <v>5243377.2</v>
      </c>
      <c r="L45" s="21">
        <v>5776329.8099999996</v>
      </c>
      <c r="M45" s="25">
        <f>(+K45-L45)/L45</f>
        <v>-9.2264920378568108E-2</v>
      </c>
      <c r="N45" s="10"/>
      <c r="R45" s="2"/>
    </row>
    <row r="46" spans="1:18" ht="15.75" x14ac:dyDescent="0.25">
      <c r="A46" s="19"/>
      <c r="B46" s="20">
        <f>DATE(2019,8,1)</f>
        <v>43678</v>
      </c>
      <c r="C46" s="21">
        <v>153444</v>
      </c>
      <c r="D46" s="21">
        <v>161125</v>
      </c>
      <c r="E46" s="23">
        <f>(+C46-D46)/D46</f>
        <v>-4.7671062839410396E-2</v>
      </c>
      <c r="F46" s="21">
        <f>+C46-72860</f>
        <v>80584</v>
      </c>
      <c r="G46" s="21">
        <f>+D46-76425</f>
        <v>84700</v>
      </c>
      <c r="H46" s="23">
        <f>(+F46-G46)/G46</f>
        <v>-4.8595041322314049E-2</v>
      </c>
      <c r="I46" s="24">
        <f>K46/C46</f>
        <v>36.91110437684106</v>
      </c>
      <c r="J46" s="24">
        <f>K46/F46</f>
        <v>70.284268589298122</v>
      </c>
      <c r="K46" s="21">
        <v>5663787.5</v>
      </c>
      <c r="L46" s="21">
        <v>5562742.8200000003</v>
      </c>
      <c r="M46" s="25">
        <f>(+K46-L46)/L46</f>
        <v>1.8164542792938197E-2</v>
      </c>
      <c r="N46" s="10"/>
      <c r="R46" s="2"/>
    </row>
    <row r="47" spans="1:18" ht="15.75" x14ac:dyDescent="0.25">
      <c r="A47" s="19"/>
      <c r="B47" s="20">
        <f>DATE(2019,9,1)</f>
        <v>43709</v>
      </c>
      <c r="C47" s="21">
        <v>143049</v>
      </c>
      <c r="D47" s="21">
        <v>154193</v>
      </c>
      <c r="E47" s="23">
        <f>(+C47-D47)/D47</f>
        <v>-7.2273060385361201E-2</v>
      </c>
      <c r="F47" s="21">
        <f>+C47-67371</f>
        <v>75678</v>
      </c>
      <c r="G47" s="21">
        <f>+D47-72768</f>
        <v>81425</v>
      </c>
      <c r="H47" s="23">
        <f>(+F47-G47)/G47</f>
        <v>-7.0580288609149527E-2</v>
      </c>
      <c r="I47" s="24">
        <f>K47/C47</f>
        <v>35.52142797223329</v>
      </c>
      <c r="J47" s="24">
        <f>K47/F47</f>
        <v>67.143750495520493</v>
      </c>
      <c r="K47" s="21">
        <v>5081304.75</v>
      </c>
      <c r="L47" s="21">
        <v>5375376.2999999998</v>
      </c>
      <c r="M47" s="25">
        <f>(+K47-L47)/L47</f>
        <v>-5.4707156036685252E-2</v>
      </c>
      <c r="N47" s="10"/>
      <c r="R47" s="2"/>
    </row>
    <row r="48" spans="1:18" ht="15.75" customHeight="1" thickBot="1" x14ac:dyDescent="0.3">
      <c r="A48" s="19"/>
      <c r="B48" s="45"/>
      <c r="C48" s="21"/>
      <c r="D48" s="21"/>
      <c r="E48" s="23"/>
      <c r="F48" s="21"/>
      <c r="G48" s="21"/>
      <c r="H48" s="23"/>
      <c r="I48" s="24"/>
      <c r="J48" s="24"/>
      <c r="K48" s="21"/>
      <c r="L48" s="21"/>
      <c r="M48" s="25"/>
      <c r="N48" s="10"/>
      <c r="R48" s="2"/>
    </row>
    <row r="49" spans="1:18" ht="17.45" customHeight="1" thickTop="1" thickBot="1" x14ac:dyDescent="0.3">
      <c r="A49" s="39" t="s">
        <v>14</v>
      </c>
      <c r="B49" s="52"/>
      <c r="C49" s="47">
        <f>SUM(C45:C48)</f>
        <v>447904</v>
      </c>
      <c r="D49" s="48">
        <f>SUM(D45:D48)</f>
        <v>479558</v>
      </c>
      <c r="E49" s="281">
        <f>(+C49-D49)/D49</f>
        <v>-6.6006614424115539E-2</v>
      </c>
      <c r="F49" s="48">
        <f>SUM(F45:F48)</f>
        <v>235924</v>
      </c>
      <c r="G49" s="47">
        <f>SUM(G45:G48)</f>
        <v>252281</v>
      </c>
      <c r="H49" s="53">
        <f>(+F49-G49)/G49</f>
        <v>-6.4836432390865742E-2</v>
      </c>
      <c r="I49" s="51">
        <f>K49/C49</f>
        <v>35.696197064549544</v>
      </c>
      <c r="J49" s="50">
        <f>K49/F49</f>
        <v>67.769576007527846</v>
      </c>
      <c r="K49" s="47">
        <f>SUM(K45:K48)</f>
        <v>15988469.449999999</v>
      </c>
      <c r="L49" s="48">
        <f>SUM(L45:L48)</f>
        <v>16714448.93</v>
      </c>
      <c r="M49" s="44">
        <f>(+K49-L49)/L49</f>
        <v>-4.3434245606325264E-2</v>
      </c>
      <c r="N49" s="10"/>
      <c r="R49" s="2"/>
    </row>
    <row r="50" spans="1:18" ht="15.75" customHeight="1" thickTop="1" x14ac:dyDescent="0.25">
      <c r="A50" s="19"/>
      <c r="B50" s="45"/>
      <c r="C50" s="21"/>
      <c r="D50" s="21"/>
      <c r="E50" s="23"/>
      <c r="F50" s="21"/>
      <c r="G50" s="21"/>
      <c r="H50" s="23"/>
      <c r="I50" s="24"/>
      <c r="J50" s="24"/>
      <c r="K50" s="21"/>
      <c r="L50" s="21"/>
      <c r="M50" s="25"/>
      <c r="N50" s="10"/>
      <c r="R50" s="2"/>
    </row>
    <row r="51" spans="1:18" ht="15.75" customHeight="1" x14ac:dyDescent="0.25">
      <c r="A51" s="19" t="s">
        <v>67</v>
      </c>
      <c r="B51" s="20">
        <f>DATE(2019,7,1)</f>
        <v>43647</v>
      </c>
      <c r="C51" s="21">
        <v>323731</v>
      </c>
      <c r="D51" s="21">
        <v>388346</v>
      </c>
      <c r="E51" s="23">
        <f>(+C51-D51)/D51</f>
        <v>-0.1663851307854336</v>
      </c>
      <c r="F51" s="21">
        <f>+C51-139062</f>
        <v>184669</v>
      </c>
      <c r="G51" s="21">
        <f>+D51-165497</f>
        <v>222849</v>
      </c>
      <c r="H51" s="23">
        <f>(+F51-G51)/G51</f>
        <v>-0.17132677283721265</v>
      </c>
      <c r="I51" s="24">
        <f>K51/C51</f>
        <v>38.805674340733511</v>
      </c>
      <c r="J51" s="24">
        <f>K51/F51</f>
        <v>68.027659000698549</v>
      </c>
      <c r="K51" s="21">
        <v>12562599.76</v>
      </c>
      <c r="L51" s="21">
        <v>13426296.74</v>
      </c>
      <c r="M51" s="25">
        <f>(+K51-L51)/L51</f>
        <v>-6.4328756970404966E-2</v>
      </c>
      <c r="N51" s="10"/>
      <c r="R51" s="2"/>
    </row>
    <row r="52" spans="1:18" ht="15.75" customHeight="1" x14ac:dyDescent="0.25">
      <c r="A52" s="19"/>
      <c r="B52" s="20">
        <f>DATE(2019,8,1)</f>
        <v>43678</v>
      </c>
      <c r="C52" s="21">
        <v>325001</v>
      </c>
      <c r="D52" s="21">
        <v>374981</v>
      </c>
      <c r="E52" s="23">
        <f>(+C52-D52)/D52</f>
        <v>-0.13328675319549524</v>
      </c>
      <c r="F52" s="21">
        <f>+C52-140763</f>
        <v>184238</v>
      </c>
      <c r="G52" s="21">
        <f>+D52-161656</f>
        <v>213325</v>
      </c>
      <c r="H52" s="23">
        <f>(+F52-G52)/G52</f>
        <v>-0.13635063869682409</v>
      </c>
      <c r="I52" s="24">
        <f>K52/C52</f>
        <v>39.736928840218951</v>
      </c>
      <c r="J52" s="24">
        <f>K52/F52</f>
        <v>70.097057121766412</v>
      </c>
      <c r="K52" s="21">
        <v>12914541.609999999</v>
      </c>
      <c r="L52" s="21">
        <v>14006614.060000001</v>
      </c>
      <c r="M52" s="25">
        <f>(+K52-L52)/L52</f>
        <v>-7.7968340194275412E-2</v>
      </c>
      <c r="N52" s="10"/>
      <c r="R52" s="2"/>
    </row>
    <row r="53" spans="1:18" ht="15.75" customHeight="1" x14ac:dyDescent="0.25">
      <c r="A53" s="19"/>
      <c r="B53" s="20">
        <f>DATE(2019,9,1)</f>
        <v>43709</v>
      </c>
      <c r="C53" s="21">
        <v>300769</v>
      </c>
      <c r="D53" s="21">
        <v>360336</v>
      </c>
      <c r="E53" s="23">
        <f>(+C53-D53)/D53</f>
        <v>-0.16530959992895519</v>
      </c>
      <c r="F53" s="21">
        <f>+C53-129529</f>
        <v>171240</v>
      </c>
      <c r="G53" s="21">
        <f>+D53-155587</f>
        <v>204749</v>
      </c>
      <c r="H53" s="23">
        <f>(+F53-G53)/G53</f>
        <v>-0.16365891896907922</v>
      </c>
      <c r="I53" s="24">
        <f>K53/C53</f>
        <v>40.862831940791772</v>
      </c>
      <c r="J53" s="24">
        <f>K53/F53</f>
        <v>71.772209180098102</v>
      </c>
      <c r="K53" s="21">
        <v>12290273.1</v>
      </c>
      <c r="L53" s="21">
        <v>13292569.289999999</v>
      </c>
      <c r="M53" s="25">
        <f>(+K53-L53)/L53</f>
        <v>-7.5402743302156572E-2</v>
      </c>
      <c r="N53" s="10"/>
      <c r="R53" s="2"/>
    </row>
    <row r="54" spans="1:18" ht="15.75" customHeight="1" thickBot="1" x14ac:dyDescent="0.3">
      <c r="A54" s="19"/>
      <c r="B54" s="45"/>
      <c r="C54" s="21"/>
      <c r="D54" s="21"/>
      <c r="E54" s="23"/>
      <c r="F54" s="21"/>
      <c r="G54" s="21"/>
      <c r="H54" s="23"/>
      <c r="I54" s="24"/>
      <c r="J54" s="24"/>
      <c r="K54" s="21"/>
      <c r="L54" s="21"/>
      <c r="M54" s="25"/>
      <c r="N54" s="10"/>
      <c r="R54" s="2"/>
    </row>
    <row r="55" spans="1:18" ht="17.25" thickTop="1" thickBot="1" x14ac:dyDescent="0.3">
      <c r="A55" s="39" t="s">
        <v>14</v>
      </c>
      <c r="B55" s="40"/>
      <c r="C55" s="41">
        <f>SUM(C51:C54)</f>
        <v>949501</v>
      </c>
      <c r="D55" s="41">
        <f>SUM(D51:D54)</f>
        <v>1123663</v>
      </c>
      <c r="E55" s="280">
        <f>(+C55-D55)/D55</f>
        <v>-0.15499486945819166</v>
      </c>
      <c r="F55" s="41">
        <f>SUM(F51:F54)</f>
        <v>540147</v>
      </c>
      <c r="G55" s="41">
        <f>SUM(G51:G54)</f>
        <v>640923</v>
      </c>
      <c r="H55" s="42">
        <f>(+F55-G55)/G55</f>
        <v>-0.15723573658614218</v>
      </c>
      <c r="I55" s="43">
        <f>K55/C55</f>
        <v>39.776066028366479</v>
      </c>
      <c r="J55" s="43">
        <f>K55/F55</f>
        <v>69.920622478695606</v>
      </c>
      <c r="K55" s="41">
        <f>SUM(K51:K54)</f>
        <v>37767414.469999999</v>
      </c>
      <c r="L55" s="41">
        <f>SUM(L51:L54)</f>
        <v>40725480.090000004</v>
      </c>
      <c r="M55" s="44">
        <f>(+K55-L55)/L55</f>
        <v>-7.2634272535594915E-2</v>
      </c>
      <c r="N55" s="10"/>
      <c r="R55" s="2"/>
    </row>
    <row r="56" spans="1:18" ht="15.75" customHeight="1" thickTop="1" x14ac:dyDescent="0.2">
      <c r="A56" s="54"/>
      <c r="B56" s="55"/>
      <c r="C56" s="55"/>
      <c r="D56" s="55"/>
      <c r="E56" s="56"/>
      <c r="F56" s="55"/>
      <c r="G56" s="55"/>
      <c r="H56" s="56"/>
      <c r="I56" s="55"/>
      <c r="J56" s="55"/>
      <c r="K56" s="196"/>
      <c r="L56" s="196"/>
      <c r="M56" s="57"/>
      <c r="N56" s="10"/>
      <c r="R56" s="2"/>
    </row>
    <row r="57" spans="1:18" ht="15.75" customHeight="1" x14ac:dyDescent="0.25">
      <c r="A57" s="19" t="s">
        <v>18</v>
      </c>
      <c r="B57" s="20">
        <f>DATE(2019,7,1)</f>
        <v>43647</v>
      </c>
      <c r="C57" s="21">
        <v>366609</v>
      </c>
      <c r="D57" s="21">
        <v>413730</v>
      </c>
      <c r="E57" s="23">
        <f>(+C57-D57)/D57</f>
        <v>-0.11389311870060184</v>
      </c>
      <c r="F57" s="21">
        <f>+C57-178251</f>
        <v>188358</v>
      </c>
      <c r="G57" s="21">
        <f>+D57-202461</f>
        <v>211269</v>
      </c>
      <c r="H57" s="23">
        <f>(+F57-G57)/G57</f>
        <v>-0.10844468426508386</v>
      </c>
      <c r="I57" s="24">
        <f>K57/C57</f>
        <v>42.795962537744572</v>
      </c>
      <c r="J57" s="24">
        <f>K57/F57</f>
        <v>83.295559678909314</v>
      </c>
      <c r="K57" s="21">
        <v>15689385.029999999</v>
      </c>
      <c r="L57" s="21">
        <v>17628524.710000001</v>
      </c>
      <c r="M57" s="25">
        <f>(+K57-L57)/L57</f>
        <v>-0.11000011129121885</v>
      </c>
      <c r="N57" s="10"/>
      <c r="R57" s="2"/>
    </row>
    <row r="58" spans="1:18" ht="15.75" customHeight="1" x14ac:dyDescent="0.25">
      <c r="A58" s="19"/>
      <c r="B58" s="20">
        <f>DATE(2019,8,1)</f>
        <v>43678</v>
      </c>
      <c r="C58" s="21">
        <v>384946</v>
      </c>
      <c r="D58" s="21">
        <v>405657</v>
      </c>
      <c r="E58" s="23">
        <f>(+C58-D58)/D58</f>
        <v>-5.1055448322104638E-2</v>
      </c>
      <c r="F58" s="21">
        <f>+C58-186236</f>
        <v>198710</v>
      </c>
      <c r="G58" s="21">
        <f>+D58-195459</f>
        <v>210198</v>
      </c>
      <c r="H58" s="23">
        <f>(+F58-G58)/G58</f>
        <v>-5.4653231714859321E-2</v>
      </c>
      <c r="I58" s="24">
        <f>K58/C58</f>
        <v>43.116520966577127</v>
      </c>
      <c r="J58" s="24">
        <f>K58/F58</f>
        <v>83.52640672336571</v>
      </c>
      <c r="K58" s="21">
        <v>16597532.279999999</v>
      </c>
      <c r="L58" s="21">
        <v>17799458.530000001</v>
      </c>
      <c r="M58" s="25">
        <f>(+K58-L58)/L58</f>
        <v>-6.7526000747394746E-2</v>
      </c>
      <c r="N58" s="10"/>
      <c r="R58" s="2"/>
    </row>
    <row r="59" spans="1:18" ht="15.75" customHeight="1" x14ac:dyDescent="0.25">
      <c r="A59" s="19"/>
      <c r="B59" s="20">
        <f>DATE(2019,9,1)</f>
        <v>43709</v>
      </c>
      <c r="C59" s="21">
        <v>348168</v>
      </c>
      <c r="D59" s="21">
        <v>386512</v>
      </c>
      <c r="E59" s="23">
        <f>(+C59-D59)/D59</f>
        <v>-9.9205199321107759E-2</v>
      </c>
      <c r="F59" s="21">
        <f>+C59-163347</f>
        <v>184821</v>
      </c>
      <c r="G59" s="21">
        <f>+D59-188889</f>
        <v>197623</v>
      </c>
      <c r="H59" s="23">
        <f>(+F59-G59)/G59</f>
        <v>-6.4779909221092682E-2</v>
      </c>
      <c r="I59" s="24">
        <f>K59/C59</f>
        <v>44.413399364674525</v>
      </c>
      <c r="J59" s="24">
        <f>K59/F59</f>
        <v>83.666490442103438</v>
      </c>
      <c r="K59" s="21">
        <v>15463324.43</v>
      </c>
      <c r="L59" s="21">
        <v>16599689.699999999</v>
      </c>
      <c r="M59" s="25">
        <f>(+K59-L59)/L59</f>
        <v>-6.8457018808008183E-2</v>
      </c>
      <c r="N59" s="10"/>
      <c r="R59" s="2"/>
    </row>
    <row r="60" spans="1:18" ht="15.75" customHeight="1" thickBot="1" x14ac:dyDescent="0.3">
      <c r="A60" s="19"/>
      <c r="B60" s="45"/>
      <c r="C60" s="21"/>
      <c r="D60" s="21"/>
      <c r="E60" s="23"/>
      <c r="F60" s="21"/>
      <c r="G60" s="21"/>
      <c r="H60" s="23"/>
      <c r="I60" s="24"/>
      <c r="J60" s="24"/>
      <c r="K60" s="21"/>
      <c r="L60" s="21"/>
      <c r="M60" s="25"/>
      <c r="N60" s="10"/>
      <c r="R60" s="2"/>
    </row>
    <row r="61" spans="1:18" ht="17.25" thickTop="1" thickBot="1" x14ac:dyDescent="0.3">
      <c r="A61" s="39" t="s">
        <v>14</v>
      </c>
      <c r="B61" s="40"/>
      <c r="C61" s="41">
        <f>SUM(C57:C60)</f>
        <v>1099723</v>
      </c>
      <c r="D61" s="41">
        <f>SUM(D57:D60)</f>
        <v>1205899</v>
      </c>
      <c r="E61" s="280">
        <f>(+C61-D61)/D61</f>
        <v>-8.8047174763392286E-2</v>
      </c>
      <c r="F61" s="41">
        <f>SUM(F57:F60)</f>
        <v>571889</v>
      </c>
      <c r="G61" s="41">
        <f>SUM(G57:G60)</f>
        <v>619090</v>
      </c>
      <c r="H61" s="42">
        <f>(+F61-G61)/G61</f>
        <v>-7.6242549548530908E-2</v>
      </c>
      <c r="I61" s="43">
        <f>K61/C61</f>
        <v>43.420244679796632</v>
      </c>
      <c r="J61" s="43">
        <f>K61/F61</f>
        <v>83.495646427890719</v>
      </c>
      <c r="K61" s="41">
        <f>SUM(K57:K60)</f>
        <v>47750241.739999995</v>
      </c>
      <c r="L61" s="41">
        <f>SUM(L57:L60)</f>
        <v>52027672.939999998</v>
      </c>
      <c r="M61" s="44">
        <f>(+K61-L61)/L61</f>
        <v>-8.2214540037815559E-2</v>
      </c>
      <c r="N61" s="10"/>
      <c r="R61" s="2"/>
    </row>
    <row r="62" spans="1:18" ht="15.75" customHeight="1" thickTop="1" x14ac:dyDescent="0.2">
      <c r="A62" s="54"/>
      <c r="B62" s="55"/>
      <c r="C62" s="55"/>
      <c r="D62" s="55"/>
      <c r="E62" s="56"/>
      <c r="F62" s="55"/>
      <c r="G62" s="55"/>
      <c r="H62" s="56"/>
      <c r="I62" s="55"/>
      <c r="J62" s="55"/>
      <c r="K62" s="196"/>
      <c r="L62" s="196"/>
      <c r="M62" s="57"/>
      <c r="N62" s="10"/>
      <c r="R62" s="2"/>
    </row>
    <row r="63" spans="1:18" ht="15.75" customHeight="1" x14ac:dyDescent="0.25">
      <c r="A63" s="19" t="s">
        <v>58</v>
      </c>
      <c r="B63" s="20">
        <f>DATE(2019,7,1)</f>
        <v>43647</v>
      </c>
      <c r="C63" s="21">
        <v>418595</v>
      </c>
      <c r="D63" s="21">
        <v>437171</v>
      </c>
      <c r="E63" s="23">
        <f>(+C63-D63)/D63</f>
        <v>-4.2491382090760824E-2</v>
      </c>
      <c r="F63" s="21">
        <f>+C63-188685</f>
        <v>229910</v>
      </c>
      <c r="G63" s="21">
        <f>+D63-202695</f>
        <v>234476</v>
      </c>
      <c r="H63" s="23">
        <f>(+F63-G63)/G63</f>
        <v>-1.9473208345417013E-2</v>
      </c>
      <c r="I63" s="24">
        <f>K63/C63</f>
        <v>43.543859338979203</v>
      </c>
      <c r="J63" s="24">
        <f>K63/F63</f>
        <v>79.279899960854252</v>
      </c>
      <c r="K63" s="21">
        <v>18227241.800000001</v>
      </c>
      <c r="L63" s="21">
        <v>19587162.530000001</v>
      </c>
      <c r="M63" s="25">
        <f>(+K63-L63)/L63</f>
        <v>-6.9429184953008122E-2</v>
      </c>
      <c r="N63" s="10"/>
      <c r="R63" s="2"/>
    </row>
    <row r="64" spans="1:18" ht="15.75" customHeight="1" x14ac:dyDescent="0.25">
      <c r="A64" s="19"/>
      <c r="B64" s="20">
        <f>DATE(2019,8,1)</f>
        <v>43678</v>
      </c>
      <c r="C64" s="21">
        <v>439685</v>
      </c>
      <c r="D64" s="21">
        <v>428435</v>
      </c>
      <c r="E64" s="23">
        <f>(+C64-D64)/D64</f>
        <v>2.6258358910919977E-2</v>
      </c>
      <c r="F64" s="21">
        <f>+C64-198663</f>
        <v>241022</v>
      </c>
      <c r="G64" s="21">
        <f>+D64-198491</f>
        <v>229944</v>
      </c>
      <c r="H64" s="23">
        <f>(+F64-G64)/G64</f>
        <v>4.8176947430678775E-2</v>
      </c>
      <c r="I64" s="24">
        <f>K64/C64</f>
        <v>44.397512537384721</v>
      </c>
      <c r="J64" s="24">
        <f>K64/F64</f>
        <v>80.992275808847324</v>
      </c>
      <c r="K64" s="21">
        <v>19520920.300000001</v>
      </c>
      <c r="L64" s="21">
        <v>19072987.460000001</v>
      </c>
      <c r="M64" s="25">
        <f>(+K64-L64)/L64</f>
        <v>2.3485195538423525E-2</v>
      </c>
      <c r="N64" s="10"/>
      <c r="R64" s="2"/>
    </row>
    <row r="65" spans="1:18" ht="15.75" customHeight="1" x14ac:dyDescent="0.25">
      <c r="A65" s="19"/>
      <c r="B65" s="20">
        <f>DATE(2019,9,1)</f>
        <v>43709</v>
      </c>
      <c r="C65" s="21">
        <v>422995</v>
      </c>
      <c r="D65" s="21">
        <v>430488</v>
      </c>
      <c r="E65" s="23">
        <f>(+C65-D65)/D65</f>
        <v>-1.7405827804723942E-2</v>
      </c>
      <c r="F65" s="21">
        <f>+C65-190215</f>
        <v>232780</v>
      </c>
      <c r="G65" s="21">
        <f>+D65-198602</f>
        <v>231886</v>
      </c>
      <c r="H65" s="23">
        <f>(+F65-G65)/G65</f>
        <v>3.8553427115047912E-3</v>
      </c>
      <c r="I65" s="24">
        <f>K65/C65</f>
        <v>43.640817338266416</v>
      </c>
      <c r="J65" s="24">
        <f>K65/F65</f>
        <v>79.301690566199852</v>
      </c>
      <c r="K65" s="21">
        <v>18459847.530000001</v>
      </c>
      <c r="L65" s="21">
        <v>18193233.449999999</v>
      </c>
      <c r="M65" s="25">
        <f>(+K65-L65)/L65</f>
        <v>1.4654573676126931E-2</v>
      </c>
      <c r="N65" s="10"/>
      <c r="R65" s="2"/>
    </row>
    <row r="66" spans="1:18" ht="15.75" customHeight="1" thickBot="1" x14ac:dyDescent="0.3">
      <c r="A66" s="19"/>
      <c r="B66" s="45"/>
      <c r="C66" s="21"/>
      <c r="D66" s="21"/>
      <c r="E66" s="23"/>
      <c r="F66" s="21"/>
      <c r="G66" s="21"/>
      <c r="H66" s="23"/>
      <c r="I66" s="24"/>
      <c r="J66" s="24"/>
      <c r="K66" s="21"/>
      <c r="L66" s="21"/>
      <c r="M66" s="25"/>
      <c r="N66" s="10"/>
      <c r="R66" s="2"/>
    </row>
    <row r="67" spans="1:18" ht="17.25" thickTop="1" thickBot="1" x14ac:dyDescent="0.3">
      <c r="A67" s="39" t="s">
        <v>14</v>
      </c>
      <c r="B67" s="40"/>
      <c r="C67" s="41">
        <f>SUM(C63:C66)</f>
        <v>1281275</v>
      </c>
      <c r="D67" s="41">
        <f>SUM(D63:D66)</f>
        <v>1296094</v>
      </c>
      <c r="E67" s="280">
        <f>(+C67-D67)/D67</f>
        <v>-1.1433584292497304E-2</v>
      </c>
      <c r="F67" s="41">
        <f>SUM(F63:F66)</f>
        <v>703712</v>
      </c>
      <c r="G67" s="41">
        <f>SUM(G63:G66)</f>
        <v>696306</v>
      </c>
      <c r="H67" s="42">
        <f>(+F67-G67)/G67</f>
        <v>1.0636128368849328E-2</v>
      </c>
      <c r="I67" s="43">
        <f>K67/C67</f>
        <v>43.86881007590096</v>
      </c>
      <c r="J67" s="43">
        <f>K67/F67</f>
        <v>79.873598332840714</v>
      </c>
      <c r="K67" s="41">
        <f>SUM(K63:K66)</f>
        <v>56208009.630000003</v>
      </c>
      <c r="L67" s="41">
        <f>SUM(L63:L66)</f>
        <v>56853383.439999998</v>
      </c>
      <c r="M67" s="44">
        <f>(+K67-L67)/L67</f>
        <v>-1.1351546222065882E-2</v>
      </c>
      <c r="N67" s="10"/>
      <c r="R67" s="2"/>
    </row>
    <row r="68" spans="1:18" ht="15.75" customHeight="1" thickTop="1" x14ac:dyDescent="0.2">
      <c r="A68" s="58"/>
      <c r="B68" s="59"/>
      <c r="C68" s="59"/>
      <c r="D68" s="59"/>
      <c r="E68" s="60"/>
      <c r="F68" s="59"/>
      <c r="G68" s="59"/>
      <c r="H68" s="60"/>
      <c r="I68" s="59"/>
      <c r="J68" s="59"/>
      <c r="K68" s="197"/>
      <c r="L68" s="197"/>
      <c r="M68" s="61"/>
      <c r="N68" s="10"/>
      <c r="R68" s="2"/>
    </row>
    <row r="69" spans="1:18" ht="15" customHeight="1" x14ac:dyDescent="0.25">
      <c r="A69" s="19" t="s">
        <v>59</v>
      </c>
      <c r="B69" s="20">
        <f>DATE(2019,7,1)</f>
        <v>43647</v>
      </c>
      <c r="C69" s="21">
        <v>61327</v>
      </c>
      <c r="D69" s="21">
        <v>63934</v>
      </c>
      <c r="E69" s="23">
        <f>(+C69-D69)/D69</f>
        <v>-4.0776425688991771E-2</v>
      </c>
      <c r="F69" s="21">
        <f>+C69-29380</f>
        <v>31947</v>
      </c>
      <c r="G69" s="21">
        <f>+D69-30110</f>
        <v>33824</v>
      </c>
      <c r="H69" s="23">
        <f>(+F69-G69)/G69</f>
        <v>-5.5493140964995268E-2</v>
      </c>
      <c r="I69" s="24">
        <f>K69/C69</f>
        <v>44.824024328599151</v>
      </c>
      <c r="J69" s="24">
        <f>K69/F69</f>
        <v>86.046356152377371</v>
      </c>
      <c r="K69" s="21">
        <v>2748922.94</v>
      </c>
      <c r="L69" s="21">
        <v>2819787.79</v>
      </c>
      <c r="M69" s="25">
        <f>(+K69-L69)/L69</f>
        <v>-2.5131270605296185E-2</v>
      </c>
      <c r="N69" s="10"/>
      <c r="R69" s="2"/>
    </row>
    <row r="70" spans="1:18" ht="15" customHeight="1" x14ac:dyDescent="0.25">
      <c r="A70" s="19"/>
      <c r="B70" s="20">
        <f>DATE(2019,8,1)</f>
        <v>43678</v>
      </c>
      <c r="C70" s="21">
        <v>62887</v>
      </c>
      <c r="D70" s="21">
        <v>61004</v>
      </c>
      <c r="E70" s="23">
        <f>(+C70-D70)/D70</f>
        <v>3.0866828404694773E-2</v>
      </c>
      <c r="F70" s="21">
        <f>+C70-30695</f>
        <v>32192</v>
      </c>
      <c r="G70" s="21">
        <f>+D70-29259</f>
        <v>31745</v>
      </c>
      <c r="H70" s="23">
        <f>(+F70-G70)/G70</f>
        <v>1.4080957631123011E-2</v>
      </c>
      <c r="I70" s="24">
        <f>K70/C70</f>
        <v>47.076432649037166</v>
      </c>
      <c r="J70" s="24">
        <f>K70/F70</f>
        <v>91.963705889662037</v>
      </c>
      <c r="K70" s="21">
        <v>2960495.62</v>
      </c>
      <c r="L70" s="21">
        <v>2779592.61</v>
      </c>
      <c r="M70" s="25">
        <f>(+K70-L70)/L70</f>
        <v>6.5082562584594092E-2</v>
      </c>
      <c r="N70" s="10"/>
      <c r="R70" s="2"/>
    </row>
    <row r="71" spans="1:18" ht="15" customHeight="1" x14ac:dyDescent="0.25">
      <c r="A71" s="19"/>
      <c r="B71" s="20">
        <f>DATE(2019,9,1)</f>
        <v>43709</v>
      </c>
      <c r="C71" s="21">
        <v>59108</v>
      </c>
      <c r="D71" s="21">
        <v>57391</v>
      </c>
      <c r="E71" s="23">
        <f>(+C71-D71)/D71</f>
        <v>2.9917582896272936E-2</v>
      </c>
      <c r="F71" s="21">
        <f>+C71-28508</f>
        <v>30600</v>
      </c>
      <c r="G71" s="21">
        <f>+D71-27760</f>
        <v>29631</v>
      </c>
      <c r="H71" s="23">
        <f>(+F71-G71)/G71</f>
        <v>3.2702237521514632E-2</v>
      </c>
      <c r="I71" s="24">
        <f>K71/C71</f>
        <v>45.641732422007173</v>
      </c>
      <c r="J71" s="24">
        <f>K71/F71</f>
        <v>88.163121568627446</v>
      </c>
      <c r="K71" s="21">
        <v>2697791.52</v>
      </c>
      <c r="L71" s="21">
        <v>2617109.27</v>
      </c>
      <c r="M71" s="25">
        <f>(+K71-L71)/L71</f>
        <v>3.082876627463094E-2</v>
      </c>
      <c r="N71" s="10"/>
      <c r="R71" s="2"/>
    </row>
    <row r="72" spans="1:18" ht="15.75" thickBot="1" x14ac:dyDescent="0.25">
      <c r="A72" s="38"/>
      <c r="B72" s="20"/>
      <c r="C72" s="21"/>
      <c r="D72" s="21"/>
      <c r="E72" s="23"/>
      <c r="F72" s="21"/>
      <c r="G72" s="21"/>
      <c r="H72" s="23"/>
      <c r="I72" s="24"/>
      <c r="J72" s="24"/>
      <c r="K72" s="21"/>
      <c r="L72" s="21"/>
      <c r="M72" s="25"/>
      <c r="N72" s="10"/>
      <c r="R72" s="2"/>
    </row>
    <row r="73" spans="1:18" ht="17.25" thickTop="1" thickBot="1" x14ac:dyDescent="0.3">
      <c r="A73" s="62" t="s">
        <v>14</v>
      </c>
      <c r="B73" s="52"/>
      <c r="C73" s="48">
        <f>SUM(C69:C72)</f>
        <v>183322</v>
      </c>
      <c r="D73" s="48">
        <f>SUM(D69:D72)</f>
        <v>182329</v>
      </c>
      <c r="E73" s="280">
        <f>(+C73-D73)/D73</f>
        <v>5.4461989041787095E-3</v>
      </c>
      <c r="F73" s="48">
        <f>SUM(F69:F72)</f>
        <v>94739</v>
      </c>
      <c r="G73" s="48">
        <f>SUM(G69:G72)</f>
        <v>95200</v>
      </c>
      <c r="H73" s="42">
        <f>(+F73-G73)/G73</f>
        <v>-4.8424369747899158E-3</v>
      </c>
      <c r="I73" s="50">
        <f>K73/C73</f>
        <v>45.860344530389149</v>
      </c>
      <c r="J73" s="50">
        <f>K73/F73</f>
        <v>88.740751749543477</v>
      </c>
      <c r="K73" s="48">
        <f>SUM(K69:K72)</f>
        <v>8407210.0800000001</v>
      </c>
      <c r="L73" s="48">
        <f>SUM(L69:L72)</f>
        <v>8216489.6699999999</v>
      </c>
      <c r="M73" s="44">
        <f>(+K73-L73)/L73</f>
        <v>2.3211908936775934E-2</v>
      </c>
      <c r="N73" s="10"/>
      <c r="R73" s="2"/>
    </row>
    <row r="74" spans="1:18" ht="15.75" customHeight="1" thickTop="1" x14ac:dyDescent="0.25">
      <c r="A74" s="19"/>
      <c r="B74" s="45"/>
      <c r="C74" s="21"/>
      <c r="D74" s="21"/>
      <c r="E74" s="23"/>
      <c r="F74" s="21"/>
      <c r="G74" s="21"/>
      <c r="H74" s="23"/>
      <c r="I74" s="24"/>
      <c r="J74" s="24"/>
      <c r="K74" s="21"/>
      <c r="L74" s="21"/>
      <c r="M74" s="25"/>
      <c r="N74" s="10"/>
      <c r="R74" s="2"/>
    </row>
    <row r="75" spans="1:18" ht="15.75" x14ac:dyDescent="0.25">
      <c r="A75" s="19" t="s">
        <v>19</v>
      </c>
      <c r="B75" s="20">
        <f>DATE(2019,7,1)</f>
        <v>43647</v>
      </c>
      <c r="C75" s="21">
        <v>447474</v>
      </c>
      <c r="D75" s="21">
        <v>470294</v>
      </c>
      <c r="E75" s="23">
        <f>(+C75-D75)/D75</f>
        <v>-4.8522838905025366E-2</v>
      </c>
      <c r="F75" s="21">
        <f>+C75-208413</f>
        <v>239061</v>
      </c>
      <c r="G75" s="21">
        <f>+D75-224781</f>
        <v>245513</v>
      </c>
      <c r="H75" s="23">
        <f>(+F75-G75)/G75</f>
        <v>-2.627966747178357E-2</v>
      </c>
      <c r="I75" s="24">
        <f>K75/C75</f>
        <v>50.94925714119703</v>
      </c>
      <c r="J75" s="24">
        <f>K75/F75</f>
        <v>95.366738573000205</v>
      </c>
      <c r="K75" s="21">
        <v>22798467.890000001</v>
      </c>
      <c r="L75" s="21">
        <v>23419555.780000001</v>
      </c>
      <c r="M75" s="25">
        <f>(+K75-L75)/L75</f>
        <v>-2.6520054258689297E-2</v>
      </c>
      <c r="N75" s="10"/>
      <c r="R75" s="2"/>
    </row>
    <row r="76" spans="1:18" ht="15.75" x14ac:dyDescent="0.25">
      <c r="A76" s="19"/>
      <c r="B76" s="20">
        <f>DATE(2019,8,1)</f>
        <v>43678</v>
      </c>
      <c r="C76" s="21">
        <v>463395</v>
      </c>
      <c r="D76" s="21">
        <v>474770</v>
      </c>
      <c r="E76" s="23">
        <f>(+C76-D76)/D76</f>
        <v>-2.39589696063357E-2</v>
      </c>
      <c r="F76" s="21">
        <f>+C76-219743</f>
        <v>243652</v>
      </c>
      <c r="G76" s="21">
        <f>+D76-232249</f>
        <v>242521</v>
      </c>
      <c r="H76" s="23">
        <f>(+F76-G76)/G76</f>
        <v>4.663513675104424E-3</v>
      </c>
      <c r="I76" s="24">
        <f>K76/C76</f>
        <v>50.068145642486435</v>
      </c>
      <c r="J76" s="24">
        <f>K76/F76</f>
        <v>95.223221438773336</v>
      </c>
      <c r="K76" s="21">
        <v>23201328.350000001</v>
      </c>
      <c r="L76" s="21">
        <v>23787231.309999999</v>
      </c>
      <c r="M76" s="25">
        <f>(+K76-L76)/L76</f>
        <v>-2.4630985942180137E-2</v>
      </c>
      <c r="N76" s="10"/>
      <c r="R76" s="2"/>
    </row>
    <row r="77" spans="1:18" ht="15.75" x14ac:dyDescent="0.25">
      <c r="A77" s="19"/>
      <c r="B77" s="20">
        <f>DATE(2019,9,1)</f>
        <v>43709</v>
      </c>
      <c r="C77" s="21">
        <v>425895</v>
      </c>
      <c r="D77" s="21">
        <v>439040</v>
      </c>
      <c r="E77" s="23">
        <f>(+C77-D77)/D77</f>
        <v>-2.9940324344023325E-2</v>
      </c>
      <c r="F77" s="21">
        <f>+C77-202221</f>
        <v>223674</v>
      </c>
      <c r="G77" s="21">
        <f>+D77-213778</f>
        <v>225262</v>
      </c>
      <c r="H77" s="23">
        <f>(+F77-G77)/G77</f>
        <v>-7.0495689463824351E-3</v>
      </c>
      <c r="I77" s="24">
        <f>K77/C77</f>
        <v>50.554484485612655</v>
      </c>
      <c r="J77" s="24">
        <f>K77/F77</f>
        <v>96.260191931114036</v>
      </c>
      <c r="K77" s="21">
        <v>21530902.170000002</v>
      </c>
      <c r="L77" s="21">
        <v>21674295.539999999</v>
      </c>
      <c r="M77" s="25">
        <f>(+K77-L77)/L77</f>
        <v>-6.6158260938799273E-3</v>
      </c>
      <c r="N77" s="10"/>
      <c r="R77" s="2"/>
    </row>
    <row r="78" spans="1:18" ht="15.75" thickBot="1" x14ac:dyDescent="0.25">
      <c r="A78" s="38"/>
      <c r="B78" s="45"/>
      <c r="C78" s="21"/>
      <c r="D78" s="21"/>
      <c r="E78" s="23"/>
      <c r="F78" s="21"/>
      <c r="G78" s="21"/>
      <c r="H78" s="23"/>
      <c r="I78" s="24"/>
      <c r="J78" s="24"/>
      <c r="K78" s="21"/>
      <c r="L78" s="21"/>
      <c r="M78" s="25"/>
      <c r="N78" s="10"/>
      <c r="R78" s="2"/>
    </row>
    <row r="79" spans="1:18" ht="17.25" thickTop="1" thickBot="1" x14ac:dyDescent="0.3">
      <c r="A79" s="39" t="s">
        <v>14</v>
      </c>
      <c r="B79" s="40"/>
      <c r="C79" s="41">
        <f>SUM(C75:C78)</f>
        <v>1336764</v>
      </c>
      <c r="D79" s="41">
        <f>SUM(D75:D78)</f>
        <v>1384104</v>
      </c>
      <c r="E79" s="280">
        <f>(+C79-D79)/D79</f>
        <v>-3.4202632172148917E-2</v>
      </c>
      <c r="F79" s="41">
        <f>SUM(F75:F78)</f>
        <v>706387</v>
      </c>
      <c r="G79" s="41">
        <f>SUM(G75:G78)</f>
        <v>713296</v>
      </c>
      <c r="H79" s="42">
        <f>(+F79-G79)/G79</f>
        <v>-9.6860209506291917E-3</v>
      </c>
      <c r="I79" s="43">
        <f>K79/C79</f>
        <v>50.518040888294415</v>
      </c>
      <c r="J79" s="43">
        <f>K79/F79</f>
        <v>95.600143278401205</v>
      </c>
      <c r="K79" s="41">
        <f>SUM(K75:K78)</f>
        <v>67530698.409999996</v>
      </c>
      <c r="L79" s="41">
        <f>SUM(L75:L78)</f>
        <v>68881082.629999995</v>
      </c>
      <c r="M79" s="44">
        <f>(+K79-L79)/L79</f>
        <v>-1.9604573105415472E-2</v>
      </c>
      <c r="N79" s="10"/>
      <c r="R79" s="2"/>
    </row>
    <row r="80" spans="1:18" ht="15.75" customHeight="1" thickTop="1" x14ac:dyDescent="0.25">
      <c r="A80" s="19"/>
      <c r="B80" s="45"/>
      <c r="C80" s="21"/>
      <c r="D80" s="21"/>
      <c r="E80" s="23"/>
      <c r="F80" s="21"/>
      <c r="G80" s="21"/>
      <c r="H80" s="23"/>
      <c r="I80" s="24"/>
      <c r="J80" s="24"/>
      <c r="K80" s="21"/>
      <c r="L80" s="21"/>
      <c r="M80" s="25"/>
      <c r="N80" s="10"/>
      <c r="R80" s="2"/>
    </row>
    <row r="81" spans="1:18" ht="15.75" x14ac:dyDescent="0.25">
      <c r="A81" s="19" t="s">
        <v>63</v>
      </c>
      <c r="B81" s="20">
        <f>DATE(2019,7,1)</f>
        <v>43647</v>
      </c>
      <c r="C81" s="21">
        <v>77486</v>
      </c>
      <c r="D81" s="21">
        <v>83462</v>
      </c>
      <c r="E81" s="23">
        <f>(+C81-D81)/D81</f>
        <v>-7.1601447365268023E-2</v>
      </c>
      <c r="F81" s="21">
        <f>+C81-35807</f>
        <v>41679</v>
      </c>
      <c r="G81" s="21">
        <f>+D81-37670</f>
        <v>45792</v>
      </c>
      <c r="H81" s="23">
        <f>(+F81-G81)/G81</f>
        <v>-8.9819182389937108E-2</v>
      </c>
      <c r="I81" s="24">
        <f>K81/C81</f>
        <v>43.835762331259836</v>
      </c>
      <c r="J81" s="24">
        <f>K81/F81</f>
        <v>81.495666402744789</v>
      </c>
      <c r="K81" s="21">
        <v>3396657.88</v>
      </c>
      <c r="L81" s="21">
        <v>3596592.5</v>
      </c>
      <c r="M81" s="25">
        <f>(+K81-L81)/L81</f>
        <v>-5.5590011934907861E-2</v>
      </c>
      <c r="N81" s="10"/>
      <c r="R81" s="2"/>
    </row>
    <row r="82" spans="1:18" ht="15.75" x14ac:dyDescent="0.25">
      <c r="A82" s="19"/>
      <c r="B82" s="20">
        <f>DATE(2019,8,1)</f>
        <v>43678</v>
      </c>
      <c r="C82" s="21">
        <v>83032</v>
      </c>
      <c r="D82" s="21">
        <v>82775</v>
      </c>
      <c r="E82" s="23">
        <f>(+C82-D82)/D82</f>
        <v>3.1048021745696164E-3</v>
      </c>
      <c r="F82" s="21">
        <f>+C82-37844</f>
        <v>45188</v>
      </c>
      <c r="G82" s="21">
        <f>+D82-37255</f>
        <v>45520</v>
      </c>
      <c r="H82" s="23">
        <f>(+F82-G82)/G82</f>
        <v>-7.2934973637961333E-3</v>
      </c>
      <c r="I82" s="24">
        <f>K82/C82</f>
        <v>42.053671957799402</v>
      </c>
      <c r="J82" s="24">
        <f>K82/F82</f>
        <v>77.272738116314073</v>
      </c>
      <c r="K82" s="21">
        <v>3491800.49</v>
      </c>
      <c r="L82" s="21">
        <v>3639194.09</v>
      </c>
      <c r="M82" s="25">
        <f>(+K82-L82)/L82</f>
        <v>-4.0501714488110643E-2</v>
      </c>
      <c r="N82" s="10"/>
      <c r="R82" s="2"/>
    </row>
    <row r="83" spans="1:18" ht="15.75" x14ac:dyDescent="0.25">
      <c r="A83" s="19"/>
      <c r="B83" s="20">
        <f>DATE(2019,9,1)</f>
        <v>43709</v>
      </c>
      <c r="C83" s="21">
        <v>70924</v>
      </c>
      <c r="D83" s="21">
        <v>77092</v>
      </c>
      <c r="E83" s="23">
        <f>(+C83-D83)/D83</f>
        <v>-8.0008301769314588E-2</v>
      </c>
      <c r="F83" s="21">
        <f>+C83-32729</f>
        <v>38195</v>
      </c>
      <c r="G83" s="21">
        <f>+D83-35421</f>
        <v>41671</v>
      </c>
      <c r="H83" s="23">
        <f>(+F83-G83)/G83</f>
        <v>-8.3415324806220159E-2</v>
      </c>
      <c r="I83" s="24">
        <f>K83/C83</f>
        <v>47.535936354407532</v>
      </c>
      <c r="J83" s="24">
        <f>K83/F83</f>
        <v>88.269112449273464</v>
      </c>
      <c r="K83" s="21">
        <v>3371438.75</v>
      </c>
      <c r="L83" s="21">
        <v>3422069</v>
      </c>
      <c r="M83" s="25">
        <f>(+K83-L83)/L83</f>
        <v>-1.4795215993599195E-2</v>
      </c>
      <c r="N83" s="10"/>
      <c r="R83" s="2"/>
    </row>
    <row r="84" spans="1:18" ht="15.75" thickBot="1" x14ac:dyDescent="0.25">
      <c r="A84" s="38"/>
      <c r="B84" s="45"/>
      <c r="C84" s="21"/>
      <c r="D84" s="21"/>
      <c r="E84" s="23"/>
      <c r="F84" s="21"/>
      <c r="G84" s="21"/>
      <c r="H84" s="23"/>
      <c r="I84" s="24"/>
      <c r="J84" s="24"/>
      <c r="K84" s="21"/>
      <c r="L84" s="21"/>
      <c r="M84" s="25"/>
      <c r="N84" s="10"/>
      <c r="R84" s="2"/>
    </row>
    <row r="85" spans="1:18" ht="17.25" thickTop="1" thickBot="1" x14ac:dyDescent="0.3">
      <c r="A85" s="26" t="s">
        <v>14</v>
      </c>
      <c r="B85" s="27"/>
      <c r="C85" s="28">
        <f>SUM(C81:C84)</f>
        <v>231442</v>
      </c>
      <c r="D85" s="28">
        <f>SUM(D81:D84)</f>
        <v>243329</v>
      </c>
      <c r="E85" s="280">
        <f>(+C85-D85)/D85</f>
        <v>-4.885155489070353E-2</v>
      </c>
      <c r="F85" s="28">
        <f>SUM(F81:F84)</f>
        <v>125062</v>
      </c>
      <c r="G85" s="28">
        <f>SUM(G81:G84)</f>
        <v>132983</v>
      </c>
      <c r="H85" s="42">
        <f>(+F85-G85)/G85</f>
        <v>-5.95640044216178E-2</v>
      </c>
      <c r="I85" s="43">
        <f>K85/C85</f>
        <v>44.330316537188587</v>
      </c>
      <c r="J85" s="43">
        <f>K85/F85</f>
        <v>82.038485871007993</v>
      </c>
      <c r="K85" s="28">
        <f>SUM(K81:K84)</f>
        <v>10259897.120000001</v>
      </c>
      <c r="L85" s="28">
        <f>SUM(L81:L84)</f>
        <v>10657855.59</v>
      </c>
      <c r="M85" s="44">
        <f>(+K85-L85)/L85</f>
        <v>-3.7339450383751992E-2</v>
      </c>
      <c r="N85" s="10"/>
      <c r="R85" s="2"/>
    </row>
    <row r="86" spans="1:18" ht="16.5" thickTop="1" thickBot="1" x14ac:dyDescent="0.25">
      <c r="A86" s="63"/>
      <c r="B86" s="34"/>
      <c r="C86" s="35"/>
      <c r="D86" s="35"/>
      <c r="E86" s="29"/>
      <c r="F86" s="35"/>
      <c r="G86" s="35"/>
      <c r="H86" s="29"/>
      <c r="I86" s="36"/>
      <c r="J86" s="36"/>
      <c r="K86" s="35"/>
      <c r="L86" s="35"/>
      <c r="M86" s="37"/>
      <c r="N86" s="10"/>
      <c r="R86" s="2"/>
    </row>
    <row r="87" spans="1:18" ht="17.25" thickTop="1" thickBot="1" x14ac:dyDescent="0.3">
      <c r="A87" s="64" t="s">
        <v>20</v>
      </c>
      <c r="B87" s="65"/>
      <c r="C87" s="28">
        <f>C85+C79+C37+C49+C55+C25+C13+C61+C67+C31+C73+C19+C43</f>
        <v>9384695</v>
      </c>
      <c r="D87" s="28">
        <f>D85+D79+D37+D49+D55+D25+D13+D61+D67+D31+D73+D19+D43</f>
        <v>9910635</v>
      </c>
      <c r="E87" s="279">
        <f>(+C87-D87)/D87</f>
        <v>-5.3068244365774744E-2</v>
      </c>
      <c r="F87" s="28">
        <f>F85+F79+F37+F49+F55+F25+F13+F61+F67+F31+F73+F19+F43</f>
        <v>4999012</v>
      </c>
      <c r="G87" s="28">
        <f>G85+G79+G37+G49+G55+G25+G13+G61+G67+G31+G73+G19+G43</f>
        <v>5212136</v>
      </c>
      <c r="H87" s="30">
        <f>(+F87-G87)/G87</f>
        <v>-4.0889953754084697E-2</v>
      </c>
      <c r="I87" s="31">
        <f>K87/C87</f>
        <v>46.403520720705359</v>
      </c>
      <c r="J87" s="31">
        <f>K87/F87</f>
        <v>87.113791463193124</v>
      </c>
      <c r="K87" s="28">
        <f>K85+K79+K37+K49+K55+K25+K13+K61+K67+K31+K73+K19+K43</f>
        <v>435482888.88999999</v>
      </c>
      <c r="L87" s="28">
        <f>L85+L79+L37+L49+L55+L25+L13+L61+L67+L31+L73+L19+L43</f>
        <v>445721685.35000002</v>
      </c>
      <c r="M87" s="32">
        <f>(+K87-L87)/L87</f>
        <v>-2.2971277361028757E-2</v>
      </c>
      <c r="N87" s="10"/>
      <c r="R87" s="2"/>
    </row>
    <row r="88" spans="1:18" ht="17.25" thickTop="1" thickBot="1" x14ac:dyDescent="0.3">
      <c r="A88" s="64"/>
      <c r="B88" s="65"/>
      <c r="C88" s="28"/>
      <c r="D88" s="28"/>
      <c r="E88" s="29"/>
      <c r="F88" s="28"/>
      <c r="G88" s="28"/>
      <c r="H88" s="30"/>
      <c r="I88" s="31"/>
      <c r="J88" s="31"/>
      <c r="K88" s="28"/>
      <c r="L88" s="28"/>
      <c r="M88" s="32"/>
      <c r="N88" s="10"/>
      <c r="R88" s="2"/>
    </row>
    <row r="89" spans="1:18" ht="17.25" thickTop="1" thickBot="1" x14ac:dyDescent="0.3">
      <c r="A89" s="64" t="s">
        <v>21</v>
      </c>
      <c r="B89" s="65"/>
      <c r="C89" s="28">
        <f>SUM(C11+C17+C23+C29+C35+C41+C47+C53+C59+C65+C71+C77+C83)</f>
        <v>2997871</v>
      </c>
      <c r="D89" s="28">
        <f>SUM(D11+D17+D23+D29+D35+D41+D47+D53+D59+D65+D71+D77+D83)</f>
        <v>3197349</v>
      </c>
      <c r="E89" s="279">
        <f>(+C89-D89)/D89</f>
        <v>-6.2388560022693801E-2</v>
      </c>
      <c r="F89" s="28">
        <f>SUM(F11+F17+F23+F29+F35+F41+F47+F53+F59+F65+F71+F77+F83)</f>
        <v>1602241</v>
      </c>
      <c r="G89" s="28">
        <f>SUM(G11+G17+G23+G29+G35+G41+G47+G53+G59+G65+G71+G77+G83)</f>
        <v>1680663</v>
      </c>
      <c r="H89" s="30">
        <f>(+F89-G89)/G89</f>
        <v>-4.6661347337330565E-2</v>
      </c>
      <c r="I89" s="31">
        <f>K89/C89</f>
        <v>46.646597311892336</v>
      </c>
      <c r="J89" s="31">
        <f>K89/F89</f>
        <v>87.278057002660631</v>
      </c>
      <c r="K89" s="28">
        <f>SUM(K11+K17+K23+K29+K35+K41+K47+K53+K59+K65+K71+K77+K83)</f>
        <v>139840481.32999998</v>
      </c>
      <c r="L89" s="28">
        <f>SUM(L11+L17+L23+L29+L35+L41+L47+L53+L59+L65+L71+L77+L83)</f>
        <v>144066468.69</v>
      </c>
      <c r="M89" s="44">
        <f>(+K89-L89)/L89</f>
        <v>-2.9333594405603351E-2</v>
      </c>
      <c r="N89" s="10"/>
      <c r="R89" s="2"/>
    </row>
    <row r="90" spans="1:18" ht="15.75" thickTop="1" x14ac:dyDescent="0.2">
      <c r="A90" s="66"/>
      <c r="B90" s="67"/>
      <c r="C90" s="68"/>
      <c r="D90" s="67"/>
      <c r="E90" s="67"/>
      <c r="F90" s="67"/>
      <c r="G90" s="67"/>
      <c r="H90" s="67"/>
      <c r="I90" s="67"/>
      <c r="J90" s="67"/>
      <c r="K90" s="68"/>
      <c r="L90" s="68"/>
      <c r="M90" s="67"/>
      <c r="R90" s="2"/>
    </row>
    <row r="91" spans="1:18" ht="18.75" x14ac:dyDescent="0.3">
      <c r="A91" s="264" t="s">
        <v>22</v>
      </c>
      <c r="B91" s="70"/>
      <c r="C91" s="71"/>
      <c r="D91" s="71"/>
      <c r="E91" s="71"/>
      <c r="F91" s="71"/>
      <c r="G91" s="71"/>
      <c r="H91" s="71"/>
      <c r="I91" s="71"/>
      <c r="J91" s="71"/>
      <c r="K91" s="198"/>
      <c r="L91" s="198"/>
      <c r="M91" s="71"/>
      <c r="N91" s="2"/>
      <c r="O91" s="2"/>
      <c r="P91" s="2"/>
      <c r="Q91" s="2"/>
      <c r="R91" s="2"/>
    </row>
    <row r="92" spans="1:18" ht="18" x14ac:dyDescent="0.25">
      <c r="A92" s="69"/>
      <c r="B92" s="70"/>
      <c r="C92" s="71"/>
      <c r="D92" s="71"/>
      <c r="E92" s="71"/>
      <c r="F92" s="71"/>
      <c r="G92" s="71"/>
      <c r="H92" s="71"/>
      <c r="I92" s="71"/>
      <c r="J92" s="71"/>
      <c r="K92" s="198"/>
      <c r="L92" s="198"/>
      <c r="M92" s="71"/>
      <c r="N92" s="2"/>
      <c r="O92" s="2"/>
      <c r="P92" s="2"/>
      <c r="Q92" s="2"/>
      <c r="R92" s="2"/>
    </row>
    <row r="93" spans="1:18" ht="15.75" x14ac:dyDescent="0.25">
      <c r="A93" s="72"/>
      <c r="B93" s="73"/>
      <c r="C93" s="74"/>
      <c r="D93" s="74"/>
      <c r="E93" s="74"/>
      <c r="F93" s="74"/>
      <c r="G93" s="74"/>
      <c r="H93" s="74"/>
      <c r="I93" s="74"/>
      <c r="J93" s="74"/>
      <c r="K93" s="192"/>
      <c r="L93" s="192"/>
      <c r="M93" s="75"/>
      <c r="N93" s="2"/>
      <c r="O93" s="2"/>
      <c r="P93" s="2"/>
      <c r="Q93" s="2"/>
      <c r="R93" s="2"/>
    </row>
    <row r="94" spans="1:18" x14ac:dyDescent="0.2">
      <c r="A94" s="2"/>
      <c r="B94" s="73"/>
      <c r="C94" s="74"/>
      <c r="D94" s="74"/>
      <c r="E94" s="74"/>
      <c r="F94" s="74"/>
      <c r="G94" s="74"/>
      <c r="H94" s="74"/>
      <c r="I94" s="74"/>
      <c r="J94" s="74"/>
      <c r="K94" s="192"/>
      <c r="L94" s="192"/>
      <c r="M94" s="75"/>
      <c r="N94" s="2"/>
      <c r="O94" s="2"/>
      <c r="P94" s="2"/>
      <c r="Q94" s="2"/>
      <c r="R94" s="2"/>
    </row>
    <row r="95" spans="1:18" x14ac:dyDescent="0.2">
      <c r="A95" s="2"/>
      <c r="B95" s="73"/>
      <c r="C95" s="74"/>
      <c r="D95" s="74"/>
      <c r="E95" s="74"/>
      <c r="F95" s="74"/>
      <c r="G95" s="74"/>
      <c r="H95" s="74"/>
      <c r="I95" s="74"/>
      <c r="J95" s="74"/>
      <c r="K95" s="192"/>
      <c r="L95" s="192"/>
      <c r="M95" s="75"/>
      <c r="N95" s="2"/>
      <c r="O95" s="2"/>
      <c r="P95" s="2"/>
      <c r="Q95" s="2"/>
      <c r="R95" s="2"/>
    </row>
    <row r="96" spans="1:18" x14ac:dyDescent="0.2">
      <c r="A96" s="2"/>
      <c r="B96" s="73"/>
      <c r="C96" s="74"/>
      <c r="D96" s="74"/>
      <c r="E96" s="74"/>
      <c r="F96" s="74"/>
      <c r="G96" s="74"/>
      <c r="H96" s="74"/>
      <c r="I96" s="74"/>
      <c r="J96" s="74"/>
      <c r="K96" s="192"/>
      <c r="L96" s="192"/>
      <c r="M96" s="75"/>
      <c r="N96" s="2"/>
      <c r="O96" s="2"/>
      <c r="P96" s="2"/>
      <c r="Q96" s="2"/>
      <c r="R96" s="2"/>
    </row>
    <row r="97" spans="1:18" x14ac:dyDescent="0.2">
      <c r="A97" s="2"/>
      <c r="B97" s="73"/>
      <c r="C97" s="74"/>
      <c r="D97" s="74"/>
      <c r="E97" s="74"/>
      <c r="F97" s="74"/>
      <c r="G97" s="74"/>
      <c r="H97" s="74"/>
      <c r="I97" s="74"/>
      <c r="J97" s="74"/>
      <c r="K97" s="192"/>
      <c r="L97" s="192"/>
      <c r="M97" s="75"/>
      <c r="N97" s="2"/>
      <c r="O97" s="2"/>
      <c r="P97" s="2"/>
      <c r="Q97" s="2"/>
      <c r="R97" s="2"/>
    </row>
    <row r="98" spans="1:18" x14ac:dyDescent="0.2">
      <c r="A98" s="2"/>
      <c r="B98" s="73"/>
      <c r="C98" s="74"/>
      <c r="D98" s="74"/>
      <c r="E98" s="74"/>
      <c r="F98" s="74"/>
      <c r="G98" s="74"/>
      <c r="H98" s="74"/>
      <c r="I98" s="74"/>
      <c r="J98" s="74"/>
      <c r="K98" s="192"/>
      <c r="L98" s="192"/>
      <c r="M98" s="75"/>
      <c r="N98" s="2"/>
      <c r="O98" s="2"/>
      <c r="P98" s="2"/>
      <c r="Q98" s="2"/>
      <c r="R98" s="2"/>
    </row>
    <row r="99" spans="1:18" x14ac:dyDescent="0.2">
      <c r="A99" s="2"/>
      <c r="B99" s="73"/>
      <c r="C99" s="74"/>
      <c r="D99" s="74"/>
      <c r="E99" s="74"/>
      <c r="F99" s="74"/>
      <c r="G99" s="74"/>
      <c r="H99" s="74"/>
      <c r="I99" s="74"/>
      <c r="J99" s="74"/>
      <c r="K99" s="192"/>
      <c r="L99" s="192"/>
      <c r="M99" s="75"/>
      <c r="N99" s="2"/>
      <c r="O99" s="2"/>
      <c r="P99" s="2"/>
      <c r="Q99" s="2"/>
      <c r="R99" s="2"/>
    </row>
    <row r="100" spans="1:18" x14ac:dyDescent="0.2">
      <c r="A100" s="2"/>
      <c r="B100" s="73"/>
      <c r="C100" s="74"/>
      <c r="D100" s="74"/>
      <c r="E100" s="74"/>
      <c r="F100" s="74"/>
      <c r="G100" s="74"/>
      <c r="H100" s="74"/>
      <c r="I100" s="74"/>
      <c r="J100" s="74"/>
      <c r="K100" s="192"/>
      <c r="L100" s="192"/>
      <c r="M100" s="75"/>
      <c r="N100" s="2"/>
      <c r="O100" s="2"/>
      <c r="P100" s="2"/>
      <c r="Q100" s="2"/>
      <c r="R100" s="2"/>
    </row>
    <row r="101" spans="1:18" x14ac:dyDescent="0.2">
      <c r="A101" s="2"/>
      <c r="B101" s="73"/>
      <c r="C101" s="74"/>
      <c r="D101" s="74"/>
      <c r="E101" s="74"/>
      <c r="F101" s="74"/>
      <c r="G101" s="74"/>
      <c r="H101" s="74"/>
      <c r="I101" s="74"/>
      <c r="J101" s="74"/>
      <c r="K101" s="192"/>
      <c r="L101" s="192"/>
      <c r="M101" s="75"/>
      <c r="N101" s="2"/>
      <c r="O101" s="2"/>
      <c r="P101" s="2"/>
      <c r="Q101" s="2"/>
      <c r="R101" s="2"/>
    </row>
    <row r="102" spans="1:18" x14ac:dyDescent="0.2">
      <c r="A102" s="2"/>
      <c r="B102" s="73"/>
      <c r="C102" s="74"/>
      <c r="D102" s="74"/>
      <c r="E102" s="74"/>
      <c r="F102" s="74"/>
      <c r="G102" s="74"/>
      <c r="H102" s="74"/>
      <c r="I102" s="74"/>
      <c r="J102" s="74"/>
      <c r="K102" s="192"/>
      <c r="L102" s="192"/>
      <c r="M102" s="74"/>
      <c r="N102" s="2"/>
      <c r="O102" s="2"/>
      <c r="P102" s="2"/>
      <c r="Q102" s="2"/>
      <c r="R102" s="2"/>
    </row>
    <row r="103" spans="1:18" x14ac:dyDescent="0.2">
      <c r="A103" s="2"/>
      <c r="B103" s="73"/>
      <c r="C103" s="74"/>
      <c r="D103" s="74"/>
      <c r="E103" s="74"/>
      <c r="F103" s="74"/>
      <c r="G103" s="74"/>
      <c r="H103" s="74"/>
      <c r="I103" s="74"/>
      <c r="J103" s="74"/>
      <c r="K103" s="192"/>
      <c r="L103" s="192"/>
      <c r="M103" s="74"/>
      <c r="N103" s="2"/>
      <c r="O103" s="2"/>
      <c r="P103" s="2"/>
      <c r="Q103" s="2"/>
      <c r="R103" s="2"/>
    </row>
    <row r="104" spans="1:18" x14ac:dyDescent="0.2">
      <c r="A104" s="2"/>
      <c r="B104" s="70"/>
      <c r="C104" s="74"/>
      <c r="D104" s="74"/>
      <c r="E104" s="74"/>
      <c r="F104" s="74"/>
      <c r="G104" s="74"/>
      <c r="H104" s="74"/>
      <c r="I104" s="74"/>
      <c r="J104" s="74"/>
      <c r="K104" s="192"/>
      <c r="L104" s="192"/>
      <c r="M104" s="74"/>
      <c r="N104" s="2"/>
      <c r="O104" s="2"/>
      <c r="P104" s="2"/>
      <c r="Q104" s="2"/>
      <c r="R104" s="2"/>
    </row>
    <row r="105" spans="1:18" ht="15.75" x14ac:dyDescent="0.25">
      <c r="A105" s="76"/>
      <c r="B105" s="70"/>
      <c r="C105" s="74"/>
      <c r="D105" s="74"/>
      <c r="E105" s="74"/>
      <c r="F105" s="74"/>
      <c r="G105" s="74"/>
      <c r="H105" s="74"/>
      <c r="I105" s="74"/>
      <c r="J105" s="74"/>
      <c r="K105" s="192"/>
      <c r="L105" s="192"/>
      <c r="M105" s="75"/>
      <c r="N105" s="2"/>
      <c r="O105" s="2"/>
      <c r="P105" s="2"/>
      <c r="Q105" s="2"/>
      <c r="R105" s="2"/>
    </row>
    <row r="106" spans="1:18" ht="15.75" x14ac:dyDescent="0.25">
      <c r="A106" s="76"/>
      <c r="B106" s="70"/>
      <c r="C106" s="74"/>
      <c r="D106" s="74"/>
      <c r="E106" s="74"/>
      <c r="F106" s="74"/>
      <c r="G106" s="74"/>
      <c r="H106" s="74"/>
      <c r="I106" s="74"/>
      <c r="J106" s="74"/>
      <c r="K106" s="192"/>
      <c r="L106" s="192"/>
      <c r="M106" s="75"/>
      <c r="N106" s="2"/>
      <c r="O106" s="2"/>
      <c r="P106" s="2"/>
      <c r="Q106" s="2"/>
      <c r="R106" s="2"/>
    </row>
    <row r="107" spans="1:18" ht="15.75" x14ac:dyDescent="0.25">
      <c r="A107" s="76"/>
      <c r="B107" s="70"/>
      <c r="C107" s="74"/>
      <c r="D107" s="74"/>
      <c r="E107" s="74"/>
      <c r="F107" s="74"/>
      <c r="G107" s="74"/>
      <c r="H107" s="74"/>
      <c r="I107" s="74"/>
      <c r="J107" s="74"/>
      <c r="K107" s="192"/>
      <c r="L107" s="192"/>
      <c r="M107" s="75"/>
      <c r="N107" s="2"/>
      <c r="O107" s="2"/>
      <c r="P107" s="2"/>
      <c r="Q107" s="2"/>
      <c r="R107" s="2"/>
    </row>
    <row r="108" spans="1:18" x14ac:dyDescent="0.2">
      <c r="A108" s="2"/>
      <c r="B108" s="70"/>
      <c r="C108" s="74"/>
      <c r="D108" s="74"/>
      <c r="E108" s="74"/>
      <c r="F108" s="74"/>
      <c r="G108" s="74"/>
      <c r="H108" s="74"/>
      <c r="I108" s="74"/>
      <c r="J108" s="74"/>
      <c r="K108" s="192"/>
      <c r="L108" s="192"/>
      <c r="M108" s="75"/>
      <c r="N108" s="2"/>
      <c r="O108" s="2"/>
      <c r="P108" s="2"/>
      <c r="Q108" s="2"/>
      <c r="R108" s="2"/>
    </row>
    <row r="109" spans="1:18" ht="15.75" x14ac:dyDescent="0.25">
      <c r="A109" s="76"/>
      <c r="B109" s="73"/>
      <c r="C109" s="74"/>
      <c r="D109" s="74"/>
      <c r="E109" s="74"/>
      <c r="F109" s="74"/>
      <c r="G109" s="74"/>
      <c r="H109" s="74"/>
      <c r="I109" s="74"/>
      <c r="J109" s="74"/>
      <c r="K109" s="192"/>
      <c r="L109" s="192"/>
      <c r="M109" s="75"/>
      <c r="N109" s="2"/>
      <c r="O109" s="2"/>
      <c r="P109" s="2"/>
      <c r="Q109" s="2"/>
      <c r="R109" s="2"/>
    </row>
    <row r="110" spans="1:18" x14ac:dyDescent="0.2">
      <c r="A110" s="2"/>
      <c r="B110" s="73"/>
      <c r="C110" s="74"/>
      <c r="D110" s="74"/>
      <c r="E110" s="74"/>
      <c r="F110" s="74"/>
      <c r="G110" s="74"/>
      <c r="H110" s="74"/>
      <c r="I110" s="74"/>
      <c r="J110" s="74"/>
      <c r="K110" s="192"/>
      <c r="L110" s="192"/>
      <c r="M110" s="75"/>
      <c r="N110" s="2"/>
      <c r="O110" s="2"/>
      <c r="P110" s="2"/>
      <c r="Q110" s="2"/>
      <c r="R110" s="2"/>
    </row>
    <row r="111" spans="1:18" x14ac:dyDescent="0.2">
      <c r="A111" s="2"/>
      <c r="B111" s="73"/>
      <c r="C111" s="74"/>
      <c r="D111" s="74"/>
      <c r="E111" s="74"/>
      <c r="F111" s="74"/>
      <c r="G111" s="74"/>
      <c r="H111" s="74"/>
      <c r="I111" s="74"/>
      <c r="J111" s="74"/>
      <c r="K111" s="192"/>
      <c r="L111" s="192"/>
      <c r="M111" s="75"/>
      <c r="N111" s="2"/>
      <c r="O111" s="2"/>
      <c r="P111" s="2"/>
      <c r="Q111" s="2"/>
      <c r="R111" s="2"/>
    </row>
    <row r="112" spans="1:18" x14ac:dyDescent="0.2">
      <c r="A112" s="2"/>
      <c r="B112" s="77"/>
      <c r="C112" s="74"/>
      <c r="D112" s="74"/>
      <c r="E112" s="74"/>
      <c r="F112" s="74"/>
      <c r="G112" s="74"/>
      <c r="H112" s="74"/>
      <c r="I112" s="74"/>
      <c r="J112" s="74"/>
      <c r="K112" s="192"/>
      <c r="L112" s="192"/>
      <c r="M112" s="75"/>
      <c r="N112" s="2"/>
      <c r="O112" s="2"/>
      <c r="P112" s="2"/>
      <c r="Q112" s="2"/>
      <c r="R112" s="2"/>
    </row>
    <row r="113" spans="1:18" x14ac:dyDescent="0.2">
      <c r="A113" s="2"/>
      <c r="B113" s="77"/>
      <c r="C113" s="74"/>
      <c r="D113" s="74"/>
      <c r="E113" s="74"/>
      <c r="F113" s="74"/>
      <c r="G113" s="74"/>
      <c r="H113" s="74"/>
      <c r="I113" s="74"/>
      <c r="J113" s="74"/>
      <c r="K113" s="192"/>
      <c r="L113" s="192"/>
      <c r="M113" s="75"/>
      <c r="N113" s="2"/>
      <c r="O113" s="2"/>
      <c r="P113" s="2"/>
      <c r="Q113" s="2"/>
      <c r="R113" s="2"/>
    </row>
    <row r="114" spans="1:18" x14ac:dyDescent="0.2">
      <c r="A114" s="2"/>
      <c r="B114" s="77"/>
      <c r="C114" s="74"/>
      <c r="D114" s="74"/>
      <c r="E114" s="74"/>
      <c r="F114" s="74"/>
      <c r="G114" s="74"/>
      <c r="H114" s="74"/>
      <c r="I114" s="74"/>
      <c r="J114" s="74"/>
      <c r="K114" s="192"/>
      <c r="L114" s="192"/>
      <c r="M114" s="75"/>
      <c r="N114" s="2"/>
      <c r="O114" s="2"/>
      <c r="P114" s="2"/>
      <c r="Q114" s="2"/>
      <c r="R114" s="2"/>
    </row>
    <row r="115" spans="1:18" x14ac:dyDescent="0.2">
      <c r="A115" s="2"/>
      <c r="B115" s="77"/>
      <c r="C115" s="74"/>
      <c r="D115" s="74"/>
      <c r="E115" s="74"/>
      <c r="F115" s="74"/>
      <c r="G115" s="74"/>
      <c r="H115" s="74"/>
      <c r="I115" s="74"/>
      <c r="J115" s="74"/>
      <c r="K115" s="192"/>
      <c r="L115" s="192"/>
      <c r="M115" s="75"/>
      <c r="N115" s="2"/>
      <c r="O115" s="2"/>
      <c r="P115" s="2"/>
      <c r="Q115" s="2"/>
      <c r="R115" s="2"/>
    </row>
    <row r="116" spans="1:18" x14ac:dyDescent="0.2">
      <c r="A116" s="2"/>
      <c r="B116" s="77"/>
      <c r="C116" s="74"/>
      <c r="D116" s="74"/>
      <c r="E116" s="74"/>
      <c r="F116" s="74"/>
      <c r="G116" s="74"/>
      <c r="H116" s="74"/>
      <c r="I116" s="74"/>
      <c r="J116" s="74"/>
      <c r="K116" s="192"/>
      <c r="L116" s="192"/>
      <c r="M116" s="75"/>
      <c r="N116" s="2"/>
      <c r="O116" s="2"/>
      <c r="P116" s="2"/>
      <c r="Q116" s="2"/>
      <c r="R116" s="2"/>
    </row>
    <row r="117" spans="1:18" x14ac:dyDescent="0.2">
      <c r="A117" s="2"/>
      <c r="B117" s="77"/>
      <c r="C117" s="74"/>
      <c r="D117" s="74"/>
      <c r="E117" s="74"/>
      <c r="F117" s="74"/>
      <c r="G117" s="74"/>
      <c r="H117" s="74"/>
      <c r="I117" s="74"/>
      <c r="J117" s="74"/>
      <c r="K117" s="192"/>
      <c r="L117" s="192"/>
      <c r="M117" s="75"/>
      <c r="N117" s="2"/>
      <c r="O117" s="2"/>
      <c r="P117" s="2"/>
      <c r="Q117" s="2"/>
      <c r="R117" s="2"/>
    </row>
    <row r="118" spans="1:18" x14ac:dyDescent="0.2">
      <c r="A118" s="2"/>
      <c r="B118" s="77"/>
      <c r="C118" s="74"/>
      <c r="D118" s="74"/>
      <c r="E118" s="74"/>
      <c r="F118" s="74"/>
      <c r="G118" s="74"/>
      <c r="H118" s="74"/>
      <c r="I118" s="74"/>
      <c r="J118" s="74"/>
      <c r="K118" s="192"/>
      <c r="L118" s="192"/>
      <c r="M118" s="75"/>
      <c r="N118" s="2"/>
      <c r="O118" s="2"/>
      <c r="P118" s="2"/>
      <c r="Q118" s="2"/>
      <c r="R118" s="2"/>
    </row>
    <row r="119" spans="1:18" x14ac:dyDescent="0.2">
      <c r="A119" s="2"/>
      <c r="B119" s="77"/>
      <c r="C119" s="74"/>
      <c r="D119" s="74"/>
      <c r="E119" s="74"/>
      <c r="F119" s="74"/>
      <c r="G119" s="74"/>
      <c r="H119" s="74"/>
      <c r="I119" s="74"/>
      <c r="J119" s="74"/>
      <c r="K119" s="192"/>
      <c r="L119" s="192"/>
      <c r="M119" s="75"/>
      <c r="N119" s="2"/>
      <c r="O119" s="2"/>
      <c r="P119" s="2"/>
      <c r="Q119" s="2"/>
      <c r="R119" s="2"/>
    </row>
    <row r="120" spans="1:18" x14ac:dyDescent="0.2">
      <c r="A120" s="2"/>
      <c r="B120" s="77"/>
      <c r="C120" s="74"/>
      <c r="D120" s="74"/>
      <c r="E120" s="74"/>
      <c r="F120" s="74"/>
      <c r="G120" s="74"/>
      <c r="H120" s="74"/>
      <c r="I120" s="74"/>
      <c r="J120" s="74"/>
      <c r="K120" s="192"/>
      <c r="L120" s="192"/>
      <c r="M120" s="75"/>
      <c r="N120" s="2"/>
      <c r="O120" s="2"/>
      <c r="P120" s="2"/>
      <c r="Q120" s="2"/>
      <c r="R120" s="2"/>
    </row>
    <row r="121" spans="1:18" x14ac:dyDescent="0.2">
      <c r="A121" s="2"/>
      <c r="B121" s="2"/>
      <c r="C121" s="74"/>
      <c r="D121" s="74"/>
      <c r="E121" s="74"/>
      <c r="F121" s="74"/>
      <c r="G121" s="74"/>
      <c r="H121" s="74"/>
      <c r="I121" s="74"/>
      <c r="J121" s="74"/>
      <c r="K121" s="192"/>
      <c r="L121" s="192"/>
      <c r="M121" s="75"/>
      <c r="N121" s="2"/>
      <c r="O121" s="2"/>
      <c r="P121" s="2"/>
      <c r="Q121" s="2"/>
      <c r="R121" s="2"/>
    </row>
    <row r="122" spans="1:18" ht="15.75" x14ac:dyDescent="0.25">
      <c r="A122" s="76"/>
      <c r="B122" s="2"/>
      <c r="C122" s="74"/>
      <c r="D122" s="74"/>
      <c r="E122" s="74"/>
      <c r="F122" s="74"/>
      <c r="G122" s="74"/>
      <c r="H122" s="74"/>
      <c r="I122" s="74"/>
      <c r="J122" s="74"/>
      <c r="K122" s="192"/>
      <c r="L122" s="192"/>
      <c r="M122" s="75"/>
      <c r="N122" s="2"/>
      <c r="O122" s="2"/>
      <c r="P122" s="2"/>
      <c r="Q122" s="2"/>
      <c r="R122" s="2"/>
    </row>
    <row r="123" spans="1:18" x14ac:dyDescent="0.2">
      <c r="A123" s="2"/>
      <c r="B123" s="2"/>
      <c r="C123" s="74"/>
      <c r="D123" s="74"/>
      <c r="E123" s="74"/>
      <c r="F123" s="74"/>
      <c r="G123" s="74"/>
      <c r="H123" s="74"/>
      <c r="I123" s="74"/>
      <c r="J123" s="74"/>
      <c r="K123" s="192"/>
      <c r="L123" s="192"/>
      <c r="M123" s="75"/>
      <c r="N123" s="2"/>
      <c r="O123" s="2"/>
      <c r="P123" s="2"/>
      <c r="Q123" s="2"/>
      <c r="R123" s="2"/>
    </row>
    <row r="124" spans="1:18" x14ac:dyDescent="0.2">
      <c r="A124" s="2"/>
      <c r="B124" s="2"/>
      <c r="C124" s="74"/>
      <c r="D124" s="74"/>
      <c r="E124" s="74"/>
      <c r="F124" s="74"/>
      <c r="G124" s="74"/>
      <c r="H124" s="74"/>
      <c r="I124" s="74"/>
      <c r="J124" s="74"/>
      <c r="K124" s="192"/>
      <c r="L124" s="192"/>
      <c r="M124" s="75"/>
      <c r="N124" s="2"/>
      <c r="O124" s="2"/>
      <c r="P124" s="2"/>
      <c r="Q124" s="2"/>
      <c r="R124" s="2"/>
    </row>
    <row r="125" spans="1:18" ht="15.75" x14ac:dyDescent="0.25">
      <c r="A125" s="76"/>
      <c r="B125" s="2"/>
      <c r="C125" s="74"/>
      <c r="D125" s="74"/>
      <c r="E125" s="74"/>
      <c r="F125" s="74"/>
      <c r="G125" s="74"/>
      <c r="H125" s="74"/>
      <c r="I125" s="74"/>
      <c r="J125" s="74"/>
      <c r="K125" s="192"/>
      <c r="L125" s="192"/>
      <c r="M125" s="75"/>
      <c r="N125" s="2"/>
      <c r="O125" s="2"/>
      <c r="P125" s="2"/>
      <c r="Q125" s="2"/>
      <c r="R125" s="2"/>
    </row>
    <row r="126" spans="1:18" ht="15.75" x14ac:dyDescent="0.25">
      <c r="A126" s="76"/>
      <c r="B126" s="2"/>
      <c r="C126" s="74"/>
      <c r="D126" s="74"/>
      <c r="E126" s="74"/>
      <c r="F126" s="74"/>
      <c r="G126" s="74"/>
      <c r="H126" s="74"/>
      <c r="I126" s="74"/>
      <c r="J126" s="74"/>
      <c r="K126" s="192"/>
      <c r="L126" s="192"/>
      <c r="M126" s="75"/>
      <c r="N126" s="2"/>
      <c r="O126" s="2"/>
      <c r="P126" s="2"/>
      <c r="Q126" s="2"/>
      <c r="R126" s="2"/>
    </row>
    <row r="127" spans="1:18" ht="15.75" x14ac:dyDescent="0.25">
      <c r="A127" s="76"/>
      <c r="B127" s="77"/>
      <c r="C127" s="74"/>
      <c r="D127" s="74"/>
      <c r="E127" s="74"/>
      <c r="F127" s="74"/>
      <c r="G127" s="74"/>
      <c r="H127" s="74"/>
      <c r="I127" s="74"/>
      <c r="J127" s="74"/>
      <c r="K127" s="192"/>
      <c r="L127" s="192"/>
      <c r="M127" s="75"/>
      <c r="N127" s="2"/>
      <c r="O127" s="2"/>
      <c r="P127" s="2"/>
      <c r="Q127" s="2"/>
      <c r="R127" s="2"/>
    </row>
    <row r="128" spans="1:18" x14ac:dyDescent="0.2">
      <c r="A128" s="2"/>
      <c r="B128" s="77"/>
      <c r="C128" s="74"/>
      <c r="D128" s="74"/>
      <c r="E128" s="74"/>
      <c r="F128" s="74"/>
      <c r="G128" s="74"/>
      <c r="H128" s="74"/>
      <c r="I128" s="74"/>
      <c r="J128" s="74"/>
      <c r="K128" s="192"/>
      <c r="L128" s="192"/>
      <c r="M128" s="75"/>
      <c r="N128" s="2"/>
      <c r="O128" s="2"/>
      <c r="P128" s="2"/>
      <c r="Q128" s="2"/>
      <c r="R128" s="2"/>
    </row>
    <row r="129" spans="1:18" x14ac:dyDescent="0.2">
      <c r="A129" s="2"/>
      <c r="B129" s="77"/>
      <c r="C129" s="74"/>
      <c r="D129" s="74"/>
      <c r="E129" s="74"/>
      <c r="F129" s="74"/>
      <c r="G129" s="74"/>
      <c r="H129" s="74"/>
      <c r="I129" s="74"/>
      <c r="J129" s="74"/>
      <c r="K129" s="192"/>
      <c r="L129" s="192"/>
      <c r="M129" s="75"/>
      <c r="N129" s="2"/>
      <c r="O129" s="2"/>
      <c r="P129" s="2"/>
      <c r="Q129" s="2"/>
      <c r="R129" s="2"/>
    </row>
    <row r="130" spans="1:18" x14ac:dyDescent="0.2">
      <c r="A130" s="2"/>
      <c r="B130" s="77"/>
      <c r="C130" s="74"/>
      <c r="D130" s="74"/>
      <c r="E130" s="74"/>
      <c r="F130" s="74"/>
      <c r="G130" s="74"/>
      <c r="H130" s="74"/>
      <c r="I130" s="74"/>
      <c r="J130" s="74"/>
      <c r="K130" s="192"/>
      <c r="L130" s="192"/>
      <c r="M130" s="75"/>
      <c r="N130" s="2"/>
      <c r="O130" s="2"/>
      <c r="P130" s="2"/>
      <c r="Q130" s="2"/>
      <c r="R130" s="2"/>
    </row>
    <row r="131" spans="1:18" x14ac:dyDescent="0.2">
      <c r="A131" s="2"/>
      <c r="B131" s="77"/>
      <c r="C131" s="74"/>
      <c r="D131" s="74"/>
      <c r="E131" s="74"/>
      <c r="F131" s="74"/>
      <c r="G131" s="74"/>
      <c r="H131" s="74"/>
      <c r="I131" s="74"/>
      <c r="J131" s="74"/>
      <c r="K131" s="192"/>
      <c r="L131" s="192"/>
      <c r="M131" s="75"/>
      <c r="N131" s="2"/>
      <c r="O131" s="2"/>
      <c r="P131" s="2"/>
      <c r="Q131" s="2"/>
      <c r="R131" s="2"/>
    </row>
    <row r="132" spans="1:18" x14ac:dyDescent="0.2">
      <c r="A132" s="2"/>
      <c r="B132" s="77"/>
      <c r="C132" s="74"/>
      <c r="D132" s="74"/>
      <c r="E132" s="74"/>
      <c r="F132" s="74"/>
      <c r="G132" s="74"/>
      <c r="H132" s="74"/>
      <c r="I132" s="74"/>
      <c r="J132" s="74"/>
      <c r="K132" s="192"/>
      <c r="L132" s="192"/>
      <c r="M132" s="75"/>
      <c r="N132" s="2"/>
      <c r="O132" s="2"/>
      <c r="P132" s="2"/>
      <c r="Q132" s="2"/>
      <c r="R132" s="2"/>
    </row>
    <row r="133" spans="1:18" x14ac:dyDescent="0.2">
      <c r="A133" s="2"/>
      <c r="B133" s="77"/>
      <c r="C133" s="74"/>
      <c r="D133" s="74"/>
      <c r="E133" s="74"/>
      <c r="F133" s="74"/>
      <c r="G133" s="74"/>
      <c r="H133" s="74"/>
      <c r="I133" s="74"/>
      <c r="J133" s="74"/>
      <c r="K133" s="192"/>
      <c r="L133" s="192"/>
      <c r="M133" s="75"/>
      <c r="N133" s="2"/>
      <c r="O133" s="2"/>
      <c r="P133" s="2"/>
      <c r="Q133" s="2"/>
      <c r="R133" s="2"/>
    </row>
    <row r="134" spans="1:18" x14ac:dyDescent="0.2">
      <c r="A134" s="2"/>
      <c r="B134" s="77"/>
      <c r="C134" s="74"/>
      <c r="D134" s="74"/>
      <c r="E134" s="74"/>
      <c r="F134" s="74"/>
      <c r="G134" s="74"/>
      <c r="H134" s="74"/>
      <c r="I134" s="74"/>
      <c r="J134" s="74"/>
      <c r="K134" s="192"/>
      <c r="L134" s="192"/>
      <c r="M134" s="75"/>
      <c r="N134" s="2"/>
      <c r="O134" s="2"/>
      <c r="P134" s="2"/>
      <c r="Q134" s="2"/>
      <c r="R134" s="2"/>
    </row>
    <row r="135" spans="1:18" x14ac:dyDescent="0.2">
      <c r="A135" s="2"/>
      <c r="B135" s="77"/>
      <c r="C135" s="74"/>
      <c r="D135" s="74"/>
      <c r="E135" s="74"/>
      <c r="F135" s="74"/>
      <c r="G135" s="74"/>
      <c r="H135" s="74"/>
      <c r="I135" s="74"/>
      <c r="J135" s="74"/>
      <c r="K135" s="192"/>
      <c r="L135" s="192"/>
      <c r="M135" s="75"/>
      <c r="N135" s="2"/>
      <c r="O135" s="2"/>
      <c r="P135" s="2"/>
      <c r="Q135" s="2"/>
      <c r="R135" s="2"/>
    </row>
    <row r="136" spans="1:18" x14ac:dyDescent="0.2">
      <c r="A136" s="2"/>
      <c r="B136" s="77"/>
      <c r="C136" s="74"/>
      <c r="D136" s="74"/>
      <c r="E136" s="74"/>
      <c r="F136" s="74"/>
      <c r="G136" s="74"/>
      <c r="H136" s="74"/>
      <c r="I136" s="74"/>
      <c r="J136" s="74"/>
      <c r="K136" s="192"/>
      <c r="L136" s="192"/>
      <c r="M136" s="75"/>
      <c r="N136" s="2"/>
      <c r="O136" s="2"/>
      <c r="P136" s="2"/>
      <c r="Q136" s="2"/>
      <c r="R136" s="2"/>
    </row>
    <row r="137" spans="1:18" x14ac:dyDescent="0.2">
      <c r="A137" s="2"/>
      <c r="B137" s="77"/>
      <c r="C137" s="74"/>
      <c r="D137" s="74"/>
      <c r="E137" s="74"/>
      <c r="F137" s="74"/>
      <c r="G137" s="74"/>
      <c r="H137" s="74"/>
      <c r="I137" s="74"/>
      <c r="J137" s="74"/>
      <c r="K137" s="192"/>
      <c r="L137" s="192"/>
      <c r="M137" s="75"/>
      <c r="N137" s="2"/>
      <c r="O137" s="2"/>
      <c r="P137" s="2"/>
      <c r="Q137" s="2"/>
      <c r="R137" s="2"/>
    </row>
    <row r="138" spans="1:18" x14ac:dyDescent="0.2">
      <c r="A138" s="2"/>
      <c r="B138" s="77"/>
      <c r="C138" s="74"/>
      <c r="D138" s="74"/>
      <c r="E138" s="74"/>
      <c r="F138" s="74"/>
      <c r="G138" s="74"/>
      <c r="H138" s="74"/>
      <c r="I138" s="74"/>
      <c r="J138" s="74"/>
      <c r="K138" s="192"/>
      <c r="L138" s="192"/>
      <c r="M138" s="75"/>
      <c r="N138" s="2"/>
      <c r="O138" s="2"/>
      <c r="P138" s="2"/>
      <c r="Q138" s="2"/>
      <c r="R138" s="2"/>
    </row>
    <row r="139" spans="1:18" x14ac:dyDescent="0.2">
      <c r="A139" s="2"/>
      <c r="B139" s="2"/>
      <c r="C139" s="74"/>
      <c r="D139" s="74"/>
      <c r="E139" s="74"/>
      <c r="F139" s="74"/>
      <c r="G139" s="74"/>
      <c r="H139" s="74"/>
      <c r="I139" s="74"/>
      <c r="J139" s="74"/>
      <c r="K139" s="192"/>
      <c r="L139" s="192"/>
      <c r="M139" s="75"/>
      <c r="N139" s="2"/>
      <c r="O139" s="2"/>
      <c r="P139" s="2"/>
      <c r="Q139" s="2"/>
      <c r="R139" s="2"/>
    </row>
    <row r="140" spans="1:18" ht="15.75" x14ac:dyDescent="0.25">
      <c r="A140" s="76"/>
      <c r="B140" s="2"/>
      <c r="C140" s="74"/>
      <c r="D140" s="74"/>
      <c r="E140" s="74"/>
      <c r="F140" s="74"/>
      <c r="G140" s="74"/>
      <c r="H140" s="74"/>
      <c r="I140" s="74"/>
      <c r="J140" s="74"/>
      <c r="K140" s="192"/>
      <c r="L140" s="192"/>
      <c r="M140" s="75"/>
      <c r="N140" s="2"/>
      <c r="O140" s="2"/>
      <c r="P140" s="2"/>
      <c r="Q140" s="2"/>
      <c r="R140" s="2"/>
    </row>
    <row r="141" spans="1:18" x14ac:dyDescent="0.2">
      <c r="A141" s="2"/>
      <c r="B141" s="2"/>
      <c r="C141" s="74"/>
      <c r="D141" s="74"/>
      <c r="E141" s="74"/>
      <c r="F141" s="74"/>
      <c r="G141" s="74"/>
      <c r="H141" s="74"/>
      <c r="I141" s="74"/>
      <c r="J141" s="74"/>
      <c r="K141" s="192"/>
      <c r="L141" s="192"/>
      <c r="M141" s="75"/>
      <c r="N141" s="2"/>
      <c r="O141" s="2"/>
      <c r="P141" s="2"/>
      <c r="Q141" s="2"/>
      <c r="R141" s="2"/>
    </row>
    <row r="142" spans="1:18" x14ac:dyDescent="0.2">
      <c r="A142" s="2"/>
      <c r="B142" s="2"/>
      <c r="C142" s="74"/>
      <c r="D142" s="74"/>
      <c r="E142" s="74"/>
      <c r="F142" s="74"/>
      <c r="G142" s="74"/>
      <c r="H142" s="74"/>
      <c r="I142" s="74"/>
      <c r="J142" s="74"/>
      <c r="K142" s="192"/>
      <c r="L142" s="192"/>
      <c r="M142" s="75"/>
      <c r="N142" s="2"/>
      <c r="O142" s="2"/>
      <c r="P142" s="2"/>
      <c r="Q142" s="2"/>
      <c r="R142" s="2"/>
    </row>
    <row r="143" spans="1:18" ht="15.75" x14ac:dyDescent="0.25">
      <c r="A143" s="76"/>
      <c r="B143" s="77"/>
      <c r="C143" s="74"/>
      <c r="D143" s="74"/>
      <c r="E143" s="74"/>
      <c r="F143" s="74"/>
      <c r="G143" s="74"/>
      <c r="H143" s="74"/>
      <c r="I143" s="74"/>
      <c r="J143" s="74"/>
      <c r="K143" s="192"/>
      <c r="L143" s="192"/>
      <c r="M143" s="75"/>
      <c r="N143" s="2"/>
      <c r="O143" s="2"/>
      <c r="P143" s="2"/>
      <c r="Q143" s="2"/>
      <c r="R143" s="2"/>
    </row>
    <row r="144" spans="1:18" x14ac:dyDescent="0.2">
      <c r="A144" s="2"/>
      <c r="B144" s="77"/>
      <c r="C144" s="74"/>
      <c r="D144" s="74"/>
      <c r="E144" s="74"/>
      <c r="F144" s="74"/>
      <c r="G144" s="74"/>
      <c r="H144" s="74"/>
      <c r="I144" s="74"/>
      <c r="J144" s="74"/>
      <c r="K144" s="192"/>
      <c r="L144" s="192"/>
      <c r="M144" s="75"/>
      <c r="N144" s="2"/>
      <c r="O144" s="2"/>
      <c r="P144" s="2"/>
      <c r="Q144" s="2"/>
      <c r="R144" s="2"/>
    </row>
    <row r="145" spans="1:18" x14ac:dyDescent="0.2">
      <c r="A145" s="2"/>
      <c r="B145" s="77"/>
      <c r="C145" s="74"/>
      <c r="D145" s="74"/>
      <c r="E145" s="74"/>
      <c r="F145" s="74"/>
      <c r="G145" s="74"/>
      <c r="H145" s="74"/>
      <c r="I145" s="74"/>
      <c r="J145" s="74"/>
      <c r="K145" s="192"/>
      <c r="L145" s="192"/>
      <c r="M145" s="75"/>
      <c r="N145" s="2"/>
      <c r="O145" s="2"/>
      <c r="P145" s="2"/>
      <c r="Q145" s="2"/>
      <c r="R145" s="2"/>
    </row>
    <row r="146" spans="1:18" x14ac:dyDescent="0.2">
      <c r="A146" s="2"/>
      <c r="B146" s="2"/>
      <c r="C146" s="74"/>
      <c r="D146" s="74"/>
      <c r="E146" s="74"/>
      <c r="F146" s="74"/>
      <c r="G146" s="74"/>
      <c r="H146" s="74"/>
      <c r="I146" s="74"/>
      <c r="J146" s="74"/>
      <c r="K146" s="192"/>
      <c r="L146" s="192"/>
      <c r="M146" s="75"/>
      <c r="N146" s="2"/>
      <c r="O146" s="2"/>
      <c r="P146" s="2"/>
      <c r="Q146" s="2"/>
      <c r="R146" s="2"/>
    </row>
    <row r="147" spans="1:18" x14ac:dyDescent="0.2">
      <c r="A147" s="2"/>
      <c r="B147" s="2"/>
      <c r="C147" s="74"/>
      <c r="D147" s="74"/>
      <c r="E147" s="74"/>
      <c r="F147" s="74"/>
      <c r="G147" s="74"/>
      <c r="H147" s="74"/>
      <c r="I147" s="74"/>
      <c r="J147" s="74"/>
      <c r="K147" s="192"/>
      <c r="L147" s="192"/>
      <c r="M147" s="75"/>
      <c r="N147" s="2"/>
      <c r="O147" s="2"/>
      <c r="P147" s="2"/>
      <c r="Q147" s="2"/>
      <c r="R147" s="2"/>
    </row>
    <row r="148" spans="1:18" x14ac:dyDescent="0.2">
      <c r="A148" s="2"/>
      <c r="B148" s="2"/>
      <c r="C148" s="74"/>
      <c r="D148" s="74"/>
      <c r="E148" s="74"/>
      <c r="F148" s="74"/>
      <c r="G148" s="74"/>
      <c r="H148" s="74"/>
      <c r="I148" s="74"/>
      <c r="J148" s="74"/>
      <c r="K148" s="192"/>
      <c r="L148" s="192"/>
      <c r="M148" s="75"/>
      <c r="N148" s="2"/>
      <c r="O148" s="2"/>
      <c r="P148" s="2"/>
      <c r="Q148" s="2"/>
      <c r="R148" s="2"/>
    </row>
    <row r="149" spans="1:18" ht="15.75" x14ac:dyDescent="0.25">
      <c r="A149" s="76"/>
      <c r="B149" s="2"/>
      <c r="C149" s="74"/>
      <c r="D149" s="74"/>
      <c r="E149" s="74"/>
      <c r="F149" s="74"/>
      <c r="G149" s="74"/>
      <c r="H149" s="74"/>
      <c r="I149" s="74"/>
      <c r="J149" s="74"/>
      <c r="K149" s="192"/>
      <c r="L149" s="192"/>
      <c r="M149" s="75"/>
      <c r="N149" s="2"/>
      <c r="O149" s="2"/>
      <c r="P149" s="2"/>
      <c r="Q149" s="2"/>
      <c r="R149" s="2"/>
    </row>
    <row r="150" spans="1:18" x14ac:dyDescent="0.2">
      <c r="A150" s="2"/>
      <c r="B150" s="2"/>
      <c r="C150" s="74"/>
      <c r="D150" s="74"/>
      <c r="E150" s="74"/>
      <c r="F150" s="74"/>
      <c r="G150" s="74"/>
      <c r="H150" s="74"/>
      <c r="I150" s="74"/>
      <c r="J150" s="74"/>
      <c r="K150" s="192"/>
      <c r="L150" s="192"/>
      <c r="M150" s="75"/>
      <c r="N150" s="2"/>
      <c r="O150" s="2"/>
      <c r="P150" s="2"/>
      <c r="Q150" s="2"/>
      <c r="R150" s="2"/>
    </row>
    <row r="151" spans="1:18" x14ac:dyDescent="0.2">
      <c r="A151" s="2"/>
      <c r="B151" s="2"/>
      <c r="C151" s="74"/>
      <c r="D151" s="74"/>
      <c r="E151" s="74"/>
      <c r="F151" s="74"/>
      <c r="G151" s="74"/>
      <c r="H151" s="74"/>
      <c r="I151" s="74"/>
      <c r="J151" s="74"/>
      <c r="K151" s="192"/>
      <c r="L151" s="192"/>
      <c r="M151" s="75"/>
      <c r="N151" s="2"/>
      <c r="O151" s="2"/>
      <c r="P151" s="2"/>
      <c r="Q151" s="2"/>
      <c r="R151" s="2"/>
    </row>
    <row r="152" spans="1:18" ht="15.75" x14ac:dyDescent="0.25">
      <c r="A152" s="76"/>
      <c r="B152" s="76"/>
      <c r="C152" s="74"/>
      <c r="D152" s="74"/>
      <c r="E152" s="74"/>
      <c r="F152" s="74"/>
      <c r="G152" s="74"/>
      <c r="H152" s="74"/>
      <c r="I152" s="74"/>
      <c r="J152" s="74"/>
      <c r="K152" s="192"/>
      <c r="L152" s="192"/>
      <c r="M152" s="75"/>
      <c r="N152" s="2"/>
      <c r="O152" s="2"/>
      <c r="P152" s="2"/>
      <c r="Q152" s="2"/>
      <c r="R152" s="2"/>
    </row>
    <row r="153" spans="1:18" x14ac:dyDescent="0.2">
      <c r="A153" s="2"/>
      <c r="B153" s="2"/>
      <c r="C153" s="74"/>
      <c r="D153" s="74"/>
      <c r="E153" s="74"/>
      <c r="F153" s="74"/>
      <c r="G153" s="74"/>
      <c r="H153" s="74"/>
      <c r="I153" s="74"/>
      <c r="J153" s="74"/>
      <c r="K153" s="192"/>
      <c r="L153" s="192"/>
      <c r="M153" s="75"/>
      <c r="N153" s="2"/>
      <c r="O153" s="2"/>
      <c r="P153" s="2"/>
      <c r="Q153" s="2"/>
      <c r="R153" s="2"/>
    </row>
    <row r="154" spans="1:18" x14ac:dyDescent="0.2">
      <c r="A154" s="2"/>
      <c r="B154" s="2"/>
      <c r="C154" s="74"/>
      <c r="D154" s="74"/>
      <c r="E154" s="74"/>
      <c r="F154" s="74"/>
      <c r="G154" s="74"/>
      <c r="H154" s="74"/>
      <c r="I154" s="74"/>
      <c r="J154" s="74"/>
      <c r="K154" s="192"/>
      <c r="L154" s="192"/>
      <c r="M154" s="75"/>
      <c r="N154" s="2"/>
      <c r="O154" s="2"/>
      <c r="P154" s="2"/>
      <c r="Q154" s="2"/>
      <c r="R154" s="2"/>
    </row>
    <row r="155" spans="1:18" x14ac:dyDescent="0.2">
      <c r="A155" s="2"/>
      <c r="B155" s="2"/>
      <c r="C155" s="74"/>
      <c r="D155" s="74"/>
      <c r="E155" s="74"/>
      <c r="F155" s="74"/>
      <c r="G155" s="74"/>
      <c r="H155" s="74"/>
      <c r="I155" s="74"/>
      <c r="J155" s="74"/>
      <c r="K155" s="192"/>
      <c r="L155" s="192"/>
      <c r="M155" s="75"/>
      <c r="N155" s="2"/>
      <c r="O155" s="2"/>
      <c r="P155" s="2"/>
      <c r="Q155" s="2"/>
      <c r="R155" s="2"/>
    </row>
    <row r="156" spans="1:18" x14ac:dyDescent="0.2">
      <c r="A156" s="2"/>
      <c r="B156" s="2"/>
      <c r="C156" s="74"/>
      <c r="D156" s="74"/>
      <c r="E156" s="74"/>
      <c r="F156" s="74"/>
      <c r="G156" s="74"/>
      <c r="H156" s="74"/>
      <c r="I156" s="74"/>
      <c r="J156" s="74"/>
      <c r="K156" s="192"/>
      <c r="L156" s="192"/>
      <c r="M156" s="75"/>
      <c r="N156" s="2"/>
      <c r="O156" s="2"/>
      <c r="P156" s="2"/>
      <c r="Q156" s="2"/>
      <c r="R156" s="2"/>
    </row>
    <row r="157" spans="1:18" x14ac:dyDescent="0.2">
      <c r="A157" s="2"/>
      <c r="B157" s="2"/>
      <c r="C157" s="74"/>
      <c r="D157" s="74"/>
      <c r="E157" s="74"/>
      <c r="F157" s="74"/>
      <c r="G157" s="74"/>
      <c r="H157" s="74"/>
      <c r="I157" s="74"/>
      <c r="J157" s="74"/>
      <c r="K157" s="192"/>
      <c r="L157" s="192"/>
      <c r="M157" s="75"/>
      <c r="N157" s="2"/>
      <c r="O157" s="2"/>
      <c r="P157" s="2"/>
      <c r="Q157" s="2"/>
      <c r="R157" s="2"/>
    </row>
    <row r="158" spans="1:18" x14ac:dyDescent="0.2">
      <c r="A158" s="2"/>
      <c r="B158" s="2"/>
      <c r="C158" s="74"/>
      <c r="D158" s="74"/>
      <c r="E158" s="74"/>
      <c r="F158" s="74"/>
      <c r="G158" s="74"/>
      <c r="H158" s="74"/>
      <c r="I158" s="74"/>
      <c r="J158" s="74"/>
      <c r="K158" s="192"/>
      <c r="L158" s="192"/>
      <c r="M158" s="75"/>
      <c r="N158" s="2"/>
      <c r="O158" s="2"/>
      <c r="P158" s="2"/>
      <c r="Q158" s="2"/>
      <c r="R158" s="2"/>
    </row>
    <row r="159" spans="1:18" x14ac:dyDescent="0.2">
      <c r="A159" s="2"/>
      <c r="B159" s="2"/>
      <c r="C159" s="74"/>
      <c r="D159" s="74"/>
      <c r="E159" s="74"/>
      <c r="F159" s="74"/>
      <c r="G159" s="74"/>
      <c r="H159" s="74"/>
      <c r="I159" s="74"/>
      <c r="J159" s="74"/>
      <c r="K159" s="192"/>
      <c r="L159" s="192"/>
      <c r="M159" s="75"/>
      <c r="N159" s="2"/>
      <c r="O159" s="2"/>
      <c r="P159" s="2"/>
      <c r="Q159" s="2"/>
      <c r="R159" s="2"/>
    </row>
    <row r="160" spans="1:18" x14ac:dyDescent="0.2">
      <c r="A160" s="2"/>
      <c r="B160" s="2"/>
      <c r="C160" s="74"/>
      <c r="D160" s="74"/>
      <c r="E160" s="74"/>
      <c r="F160" s="74"/>
      <c r="G160" s="74"/>
      <c r="H160" s="74"/>
      <c r="I160" s="74"/>
      <c r="J160" s="74"/>
      <c r="K160" s="192"/>
      <c r="L160" s="192"/>
      <c r="M160" s="75"/>
      <c r="N160" s="2"/>
      <c r="O160" s="2"/>
      <c r="P160" s="2"/>
      <c r="Q160" s="2"/>
      <c r="R160" s="2"/>
    </row>
    <row r="161" spans="1:18" x14ac:dyDescent="0.2">
      <c r="A161" s="2"/>
      <c r="B161" s="2"/>
      <c r="C161" s="74"/>
      <c r="D161" s="74"/>
      <c r="E161" s="74"/>
      <c r="F161" s="74"/>
      <c r="G161" s="74"/>
      <c r="H161" s="74"/>
      <c r="I161" s="74"/>
      <c r="J161" s="74"/>
      <c r="K161" s="192"/>
      <c r="L161" s="192"/>
      <c r="M161" s="75"/>
      <c r="N161" s="2"/>
      <c r="O161" s="2"/>
      <c r="P161" s="2"/>
      <c r="Q161" s="2"/>
      <c r="R161" s="2"/>
    </row>
    <row r="162" spans="1:18" x14ac:dyDescent="0.2">
      <c r="A162" s="2"/>
      <c r="B162" s="2"/>
      <c r="C162" s="74"/>
      <c r="D162" s="74"/>
      <c r="E162" s="74"/>
      <c r="F162" s="74"/>
      <c r="G162" s="74"/>
      <c r="H162" s="74"/>
      <c r="I162" s="74"/>
      <c r="J162" s="74"/>
      <c r="K162" s="192"/>
      <c r="L162" s="192"/>
      <c r="M162" s="75"/>
      <c r="N162" s="2"/>
      <c r="O162" s="2"/>
      <c r="P162" s="2"/>
      <c r="Q162" s="2"/>
      <c r="R162" s="2"/>
    </row>
    <row r="163" spans="1:18" x14ac:dyDescent="0.2">
      <c r="A163" s="2"/>
      <c r="B163" s="2"/>
      <c r="C163" s="74"/>
      <c r="D163" s="74"/>
      <c r="E163" s="74"/>
      <c r="F163" s="74"/>
      <c r="G163" s="74"/>
      <c r="H163" s="74"/>
      <c r="I163" s="74"/>
      <c r="J163" s="74"/>
      <c r="K163" s="192"/>
      <c r="L163" s="192"/>
      <c r="M163" s="75"/>
      <c r="N163" s="2"/>
      <c r="O163" s="2"/>
      <c r="P163" s="2"/>
      <c r="Q163" s="2"/>
      <c r="R163" s="2"/>
    </row>
    <row r="164" spans="1:18" x14ac:dyDescent="0.2">
      <c r="A164" s="2"/>
      <c r="B164" s="2"/>
      <c r="C164" s="74"/>
      <c r="D164" s="74"/>
      <c r="E164" s="74"/>
      <c r="F164" s="74"/>
      <c r="G164" s="74"/>
      <c r="H164" s="74"/>
      <c r="I164" s="74"/>
      <c r="J164" s="74"/>
      <c r="K164" s="192"/>
      <c r="L164" s="192"/>
      <c r="M164" s="75"/>
      <c r="N164" s="2"/>
      <c r="O164" s="2"/>
      <c r="P164" s="2"/>
      <c r="Q164" s="2"/>
      <c r="R164" s="2"/>
    </row>
    <row r="165" spans="1:18" x14ac:dyDescent="0.2">
      <c r="A165" s="2"/>
      <c r="B165" s="2"/>
      <c r="C165" s="74"/>
      <c r="D165" s="74"/>
      <c r="E165" s="74"/>
      <c r="F165" s="74"/>
      <c r="G165" s="74"/>
      <c r="H165" s="74"/>
      <c r="I165" s="74"/>
      <c r="J165" s="74"/>
      <c r="K165" s="192"/>
      <c r="L165" s="192"/>
      <c r="M165" s="75"/>
      <c r="N165" s="2"/>
      <c r="O165" s="2"/>
      <c r="P165" s="2"/>
      <c r="Q165" s="2"/>
      <c r="R165" s="2"/>
    </row>
    <row r="166" spans="1:18" x14ac:dyDescent="0.2">
      <c r="A166" s="2"/>
      <c r="B166" s="2"/>
      <c r="C166" s="74"/>
      <c r="D166" s="74"/>
      <c r="E166" s="74"/>
      <c r="F166" s="74"/>
      <c r="G166" s="74"/>
      <c r="H166" s="74"/>
      <c r="I166" s="74"/>
      <c r="J166" s="74"/>
      <c r="K166" s="192"/>
      <c r="L166" s="192"/>
      <c r="M166" s="75"/>
      <c r="N166" s="2"/>
      <c r="O166" s="2"/>
      <c r="P166" s="2"/>
      <c r="Q166" s="2"/>
      <c r="R166" s="2"/>
    </row>
    <row r="167" spans="1:18" x14ac:dyDescent="0.2">
      <c r="A167" s="2"/>
      <c r="B167" s="2"/>
      <c r="C167" s="74"/>
      <c r="D167" s="74"/>
      <c r="E167" s="74"/>
      <c r="F167" s="74"/>
      <c r="G167" s="74"/>
      <c r="H167" s="74"/>
      <c r="I167" s="74"/>
      <c r="J167" s="74"/>
      <c r="K167" s="192"/>
      <c r="L167" s="192"/>
      <c r="M167" s="75"/>
      <c r="N167" s="2"/>
      <c r="O167" s="2"/>
      <c r="P167" s="2"/>
      <c r="Q167" s="2"/>
      <c r="R167" s="2"/>
    </row>
    <row r="168" spans="1:18" x14ac:dyDescent="0.2">
      <c r="A168" s="2"/>
      <c r="B168" s="2"/>
      <c r="C168" s="74"/>
      <c r="D168" s="74"/>
      <c r="E168" s="74"/>
      <c r="F168" s="74"/>
      <c r="G168" s="74"/>
      <c r="H168" s="74"/>
      <c r="I168" s="74"/>
      <c r="J168" s="74"/>
      <c r="K168" s="192"/>
      <c r="L168" s="192"/>
      <c r="M168" s="75"/>
      <c r="N168" s="2"/>
      <c r="O168" s="2"/>
      <c r="P168" s="2"/>
      <c r="Q168" s="2"/>
      <c r="R168" s="2"/>
    </row>
    <row r="169" spans="1:18" x14ac:dyDescent="0.2">
      <c r="A169" s="2"/>
      <c r="B169" s="2"/>
      <c r="C169" s="74"/>
      <c r="D169" s="74"/>
      <c r="E169" s="74"/>
      <c r="F169" s="74"/>
      <c r="G169" s="74"/>
      <c r="H169" s="74"/>
      <c r="I169" s="74"/>
      <c r="J169" s="74"/>
      <c r="K169" s="192"/>
      <c r="L169" s="192"/>
      <c r="M169" s="75"/>
      <c r="N169" s="2"/>
      <c r="O169" s="2"/>
      <c r="P169" s="2"/>
      <c r="Q169" s="2"/>
      <c r="R169" s="2"/>
    </row>
    <row r="170" spans="1:18" x14ac:dyDescent="0.2">
      <c r="A170" s="2"/>
      <c r="B170" s="2"/>
      <c r="C170" s="74"/>
      <c r="D170" s="74"/>
      <c r="E170" s="74"/>
      <c r="F170" s="74"/>
      <c r="G170" s="74"/>
      <c r="H170" s="74"/>
      <c r="I170" s="74"/>
      <c r="J170" s="74"/>
      <c r="K170" s="192"/>
      <c r="L170" s="192"/>
      <c r="M170" s="75"/>
      <c r="N170" s="2"/>
      <c r="O170" s="2"/>
      <c r="P170" s="2"/>
      <c r="Q170" s="2"/>
      <c r="R170" s="2"/>
    </row>
    <row r="171" spans="1:18" x14ac:dyDescent="0.2">
      <c r="A171" s="2"/>
      <c r="B171" s="2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2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2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2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x14ac:dyDescent="0.2">
      <c r="A175" s="2"/>
      <c r="B175" s="2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2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2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x14ac:dyDescent="0.2">
      <c r="A178" s="2"/>
      <c r="B178" s="2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2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2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5"/>
      <c r="N180" s="2"/>
      <c r="O180" s="2"/>
      <c r="P180" s="2"/>
      <c r="Q180" s="2"/>
      <c r="R180" s="2"/>
    </row>
    <row r="181" spans="1:18" x14ac:dyDescent="0.2">
      <c r="A181" s="2"/>
      <c r="B181" s="2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5"/>
      <c r="N181" s="2"/>
      <c r="O181" s="2"/>
      <c r="P181" s="2"/>
      <c r="Q181" s="2"/>
      <c r="R181" s="2"/>
    </row>
    <row r="182" spans="1:18" x14ac:dyDescent="0.2">
      <c r="A182" s="2"/>
      <c r="B182" s="2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5"/>
      <c r="N182" s="2"/>
      <c r="O182" s="2"/>
      <c r="P182" s="2"/>
      <c r="Q182" s="2"/>
      <c r="R182" s="2"/>
    </row>
    <row r="183" spans="1:18" x14ac:dyDescent="0.2">
      <c r="A183" s="2"/>
      <c r="B183" s="2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x14ac:dyDescent="0.2">
      <c r="A184" s="2"/>
      <c r="B184" s="2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2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2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2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2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2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2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2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2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2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2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2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2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2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2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2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2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2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2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2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2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2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2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2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2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2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2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2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5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1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16.21875" style="80" customWidth="1"/>
    <col min="5" max="5" width="13.6640625" style="80" customWidth="1"/>
    <col min="6" max="6" width="14.33203125" style="80" customWidth="1"/>
    <col min="7" max="7" width="21.44140625" style="80" customWidth="1"/>
    <col min="8" max="8" width="17.88671875" style="80" customWidth="1"/>
    <col min="9" max="9" width="15.4414062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9.44140625" style="80" customWidth="1"/>
    <col min="15" max="15" width="13.8867187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23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71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24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25</v>
      </c>
      <c r="P6" s="83"/>
    </row>
    <row r="7" spans="1:16" ht="15.75" x14ac:dyDescent="0.25">
      <c r="A7" s="105" t="s">
        <v>26</v>
      </c>
      <c r="B7" s="84" t="s">
        <v>13</v>
      </c>
      <c r="C7" s="84" t="s">
        <v>15</v>
      </c>
      <c r="D7" s="84" t="s">
        <v>56</v>
      </c>
      <c r="E7" s="275" t="s">
        <v>62</v>
      </c>
      <c r="F7" s="84" t="s">
        <v>16</v>
      </c>
      <c r="G7" s="84" t="s">
        <v>61</v>
      </c>
      <c r="H7" s="84" t="s">
        <v>17</v>
      </c>
      <c r="I7" s="84" t="s">
        <v>55</v>
      </c>
      <c r="J7" s="84" t="s">
        <v>27</v>
      </c>
      <c r="K7" s="84" t="s">
        <v>57</v>
      </c>
      <c r="L7" s="84" t="s">
        <v>53</v>
      </c>
      <c r="M7" s="84" t="s">
        <v>19</v>
      </c>
      <c r="N7" s="84" t="s">
        <v>54</v>
      </c>
      <c r="O7" s="84" t="s">
        <v>28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DATE(2019,7,1)</f>
        <v>43647</v>
      </c>
      <c r="B10" s="89">
        <f>'MONTHLY STATS'!$C$9*2</f>
        <v>547650</v>
      </c>
      <c r="C10" s="89">
        <f>'MONTHLY STATS'!$C$15*2</f>
        <v>257754</v>
      </c>
      <c r="D10" s="89">
        <f>'MONTHLY STATS'!$C$21*2</f>
        <v>133726</v>
      </c>
      <c r="E10" s="89">
        <f>'MONTHLY STATS'!$C$27*2</f>
        <v>876434</v>
      </c>
      <c r="F10" s="89">
        <f>'MONTHLY STATS'!$C$33*2</f>
        <v>577518</v>
      </c>
      <c r="G10" s="89">
        <f>'MONTHLY STATS'!$C$39*2</f>
        <v>221856</v>
      </c>
      <c r="H10" s="89">
        <f>'MONTHLY STATS'!$C$45*2</f>
        <v>302822</v>
      </c>
      <c r="I10" s="89">
        <f>'MONTHLY STATS'!$C$51*2</f>
        <v>647462</v>
      </c>
      <c r="J10" s="89">
        <f>'MONTHLY STATS'!$C$57*2</f>
        <v>733218</v>
      </c>
      <c r="K10" s="89">
        <f>'MONTHLY STATS'!$C$63*2</f>
        <v>837190</v>
      </c>
      <c r="L10" s="89">
        <f>'MONTHLY STATS'!$C$69*2</f>
        <v>122654</v>
      </c>
      <c r="M10" s="89">
        <f>'MONTHLY STATS'!$C$75*2</f>
        <v>894948</v>
      </c>
      <c r="N10" s="89">
        <f>'MONTHLY STATS'!$C$81*2</f>
        <v>154972</v>
      </c>
      <c r="O10" s="90">
        <f>SUM(B10:N10)</f>
        <v>6308204</v>
      </c>
      <c r="P10" s="83"/>
    </row>
    <row r="11" spans="1:16" ht="15.75" x14ac:dyDescent="0.25">
      <c r="A11" s="88">
        <f>DATE(2019,8,1)</f>
        <v>43678</v>
      </c>
      <c r="B11" s="89">
        <f>'MONTHLY STATS'!$C$10*2</f>
        <v>553760</v>
      </c>
      <c r="C11" s="89">
        <f>'MONTHLY STATS'!$C$16*2</f>
        <v>260266</v>
      </c>
      <c r="D11" s="89">
        <f>'MONTHLY STATS'!$C$22*2</f>
        <v>138050</v>
      </c>
      <c r="E11" s="89">
        <f>'MONTHLY STATS'!$C$28*2</f>
        <v>874058</v>
      </c>
      <c r="F11" s="89">
        <f>'MONTHLY STATS'!$C$34*2</f>
        <v>585914</v>
      </c>
      <c r="G11" s="89">
        <f>'MONTHLY STATS'!$C$40*2</f>
        <v>228616</v>
      </c>
      <c r="H11" s="89">
        <f>'MONTHLY STATS'!$C$46*2</f>
        <v>306888</v>
      </c>
      <c r="I11" s="89">
        <f>'MONTHLY STATS'!$C$52*2</f>
        <v>650002</v>
      </c>
      <c r="J11" s="89">
        <f>'MONTHLY STATS'!$C$58*2</f>
        <v>769892</v>
      </c>
      <c r="K11" s="89">
        <f>'MONTHLY STATS'!$C$64*2</f>
        <v>879370</v>
      </c>
      <c r="L11" s="89">
        <f>'MONTHLY STATS'!$C$70*2</f>
        <v>125774</v>
      </c>
      <c r="M11" s="89">
        <f>'MONTHLY STATS'!$C$76*2</f>
        <v>926790</v>
      </c>
      <c r="N11" s="89">
        <f>'MONTHLY STATS'!$C$82*2</f>
        <v>166064</v>
      </c>
      <c r="O11" s="90">
        <f>SUM(B11:N11)</f>
        <v>6465444</v>
      </c>
      <c r="P11" s="83"/>
    </row>
    <row r="12" spans="1:16" ht="15.75" x14ac:dyDescent="0.25">
      <c r="A12" s="88">
        <f>DATE(2019,9,1)</f>
        <v>43709</v>
      </c>
      <c r="B12" s="89">
        <f>'MONTHLY STATS'!$C$11*2</f>
        <v>508056</v>
      </c>
      <c r="C12" s="89">
        <f>'MONTHLY STATS'!$C$17*2</f>
        <v>236502</v>
      </c>
      <c r="D12" s="89">
        <f>'MONTHLY STATS'!$C$23*2</f>
        <v>131146</v>
      </c>
      <c r="E12" s="89">
        <f>'MONTHLY STATS'!$C$29*2</f>
        <v>807698</v>
      </c>
      <c r="F12" s="89">
        <f>'MONTHLY STATS'!$C$35*2</f>
        <v>553426</v>
      </c>
      <c r="G12" s="89">
        <f>'MONTHLY STATS'!$C$41*2</f>
        <v>217098</v>
      </c>
      <c r="H12" s="89">
        <f>'MONTHLY STATS'!$C$47*2</f>
        <v>286098</v>
      </c>
      <c r="I12" s="89">
        <f>'MONTHLY STATS'!$C$53*2</f>
        <v>601538</v>
      </c>
      <c r="J12" s="89">
        <f>'MONTHLY STATS'!$C$59*2</f>
        <v>696336</v>
      </c>
      <c r="K12" s="89">
        <f>'MONTHLY STATS'!$C$65*2</f>
        <v>845990</v>
      </c>
      <c r="L12" s="89">
        <f>'MONTHLY STATS'!$C$71*2</f>
        <v>118216</v>
      </c>
      <c r="M12" s="89">
        <f>'MONTHLY STATS'!$C$77*2</f>
        <v>851790</v>
      </c>
      <c r="N12" s="89">
        <f>'MONTHLY STATS'!$C$83*2</f>
        <v>141848</v>
      </c>
      <c r="O12" s="90">
        <f>SUM(B12:N12)</f>
        <v>5995742</v>
      </c>
      <c r="P12" s="83"/>
    </row>
    <row r="13" spans="1:16" ht="15.75" x14ac:dyDescent="0.25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  <c r="P13" s="83"/>
    </row>
    <row r="14" spans="1:16" ht="15.75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83"/>
    </row>
    <row r="15" spans="1:16" ht="15.75" x14ac:dyDescent="0.2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3"/>
    </row>
    <row r="16" spans="1:16" ht="15.75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83"/>
    </row>
    <row r="17" spans="1:16" ht="15.75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3"/>
    </row>
    <row r="18" spans="1:16" ht="15.75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29</v>
      </c>
      <c r="B23" s="90">
        <f t="shared" ref="B23:O23" si="0">SUM(B10:B21)</f>
        <v>1609466</v>
      </c>
      <c r="C23" s="90">
        <f t="shared" si="0"/>
        <v>754522</v>
      </c>
      <c r="D23" s="90">
        <f t="shared" si="0"/>
        <v>402922</v>
      </c>
      <c r="E23" s="90">
        <f t="shared" si="0"/>
        <v>2558190</v>
      </c>
      <c r="F23" s="90">
        <f t="shared" si="0"/>
        <v>1716858</v>
      </c>
      <c r="G23" s="90">
        <f>SUM(G10:G21)</f>
        <v>667570</v>
      </c>
      <c r="H23" s="90">
        <f t="shared" si="0"/>
        <v>895808</v>
      </c>
      <c r="I23" s="90">
        <f>SUM(I10:I21)</f>
        <v>1899002</v>
      </c>
      <c r="J23" s="90">
        <f t="shared" si="0"/>
        <v>2199446</v>
      </c>
      <c r="K23" s="90">
        <f>SUM(K10:K21)</f>
        <v>2562550</v>
      </c>
      <c r="L23" s="90">
        <f t="shared" si="0"/>
        <v>366644</v>
      </c>
      <c r="M23" s="90">
        <f t="shared" si="0"/>
        <v>2673528</v>
      </c>
      <c r="N23" s="90">
        <f t="shared" si="0"/>
        <v>462884</v>
      </c>
      <c r="O23" s="90">
        <f t="shared" si="0"/>
        <v>18769390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30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25</v>
      </c>
      <c r="P27" s="83"/>
    </row>
    <row r="28" spans="1:16" ht="15.75" x14ac:dyDescent="0.25">
      <c r="A28" s="105" t="s">
        <v>26</v>
      </c>
      <c r="B28" s="84" t="s">
        <v>13</v>
      </c>
      <c r="C28" s="84" t="s">
        <v>15</v>
      </c>
      <c r="D28" s="84" t="s">
        <v>56</v>
      </c>
      <c r="E28" s="275" t="s">
        <v>62</v>
      </c>
      <c r="F28" s="84" t="s">
        <v>16</v>
      </c>
      <c r="G28" s="84" t="s">
        <v>61</v>
      </c>
      <c r="H28" s="84" t="s">
        <v>17</v>
      </c>
      <c r="I28" s="84" t="s">
        <v>55</v>
      </c>
      <c r="J28" s="84" t="s">
        <v>27</v>
      </c>
      <c r="K28" s="106" t="s">
        <v>57</v>
      </c>
      <c r="L28" s="106" t="s">
        <v>53</v>
      </c>
      <c r="M28" s="106" t="s">
        <v>19</v>
      </c>
      <c r="N28" s="106" t="s">
        <v>54</v>
      </c>
      <c r="O28" s="106" t="s">
        <v>28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DATE(2019,7,1)</f>
        <v>43647</v>
      </c>
      <c r="B31" s="89">
        <f>'MONTHLY STATS'!$K$9*0.21</f>
        <v>3064506.6206999999</v>
      </c>
      <c r="C31" s="89">
        <f>'MONTHLY STATS'!$K$15*0.21</f>
        <v>1462967.2742999999</v>
      </c>
      <c r="D31" s="89">
        <f>'MONTHLY STATS'!$K$21*0.21</f>
        <v>684695.08169999998</v>
      </c>
      <c r="E31" s="89">
        <f>'MONTHLY STATS'!$K$27*0.21</f>
        <v>4293878.6624999996</v>
      </c>
      <c r="F31" s="89">
        <f>'MONTHLY STATS'!$K$33*0.21</f>
        <v>2956269.6954000001</v>
      </c>
      <c r="G31" s="89">
        <f>'MONTHLY STATS'!$K$39*0.21</f>
        <v>935961.4299000001</v>
      </c>
      <c r="H31" s="89">
        <f>'MONTHLY STATS'!$K$45*0.21</f>
        <v>1101109.2120000001</v>
      </c>
      <c r="I31" s="89">
        <f>'MONTHLY STATS'!$K$51*0.21</f>
        <v>2638145.9495999999</v>
      </c>
      <c r="J31" s="89">
        <f>'MONTHLY STATS'!$K$57*0.21</f>
        <v>3294770.8562999996</v>
      </c>
      <c r="K31" s="89">
        <f>'MONTHLY STATS'!$K$63*0.21</f>
        <v>3827720.7779999999</v>
      </c>
      <c r="L31" s="89">
        <f>'MONTHLY STATS'!$K$69*0.21</f>
        <v>577273.81739999994</v>
      </c>
      <c r="M31" s="89">
        <f>'MONTHLY STATS'!$K$75*0.21</f>
        <v>4787678.2569000004</v>
      </c>
      <c r="N31" s="89">
        <f>'MONTHLY STATS'!$K$81*0.21</f>
        <v>713298.1547999999</v>
      </c>
      <c r="O31" s="90">
        <f>SUM(B31:N31)</f>
        <v>30338275.789500002</v>
      </c>
      <c r="P31" s="83"/>
    </row>
    <row r="32" spans="1:16" ht="15.75" x14ac:dyDescent="0.25">
      <c r="A32" s="88">
        <f>DATE(2019,8,1)</f>
        <v>43678</v>
      </c>
      <c r="B32" s="89">
        <f>'MONTHLY STATS'!$K$10*0.21</f>
        <v>3045430.4958000001</v>
      </c>
      <c r="C32" s="89">
        <f>'MONTHLY STATS'!$K$16*0.21</f>
        <v>1462946.0684999998</v>
      </c>
      <c r="D32" s="89">
        <f>'MONTHLY STATS'!$K$22*0.21</f>
        <v>676743.23639999994</v>
      </c>
      <c r="E32" s="89">
        <f>'MONTHLY STATS'!$K$28*0.21</f>
        <v>4480740.0917999996</v>
      </c>
      <c r="F32" s="89">
        <f>'MONTHLY STATS'!$K$34*0.21</f>
        <v>3271877.1245999997</v>
      </c>
      <c r="G32" s="89">
        <f>'MONTHLY STATS'!$K$40*0.21</f>
        <v>1095307.4894999999</v>
      </c>
      <c r="H32" s="89">
        <f>'MONTHLY STATS'!$K$46*0.21</f>
        <v>1189395.375</v>
      </c>
      <c r="I32" s="89">
        <f>'MONTHLY STATS'!$K$52*0.21</f>
        <v>2712053.7380999997</v>
      </c>
      <c r="J32" s="89">
        <f>'MONTHLY STATS'!$K$58*0.21</f>
        <v>3485481.7787999995</v>
      </c>
      <c r="K32" s="89">
        <f>'MONTHLY STATS'!$K$64*0.21</f>
        <v>4099393.2629999998</v>
      </c>
      <c r="L32" s="89">
        <f>'MONTHLY STATS'!$K$70*0.21</f>
        <v>621704.08019999997</v>
      </c>
      <c r="M32" s="89">
        <f>'MONTHLY STATS'!$K$76*0.21</f>
        <v>4872278.9534999998</v>
      </c>
      <c r="N32" s="89">
        <f>'MONTHLY STATS'!$K$82*0.21</f>
        <v>733278.10290000006</v>
      </c>
      <c r="O32" s="90">
        <f>SUM(B32:N32)</f>
        <v>31746629.798099998</v>
      </c>
      <c r="P32" s="83"/>
    </row>
    <row r="33" spans="1:16" ht="15.75" x14ac:dyDescent="0.25">
      <c r="A33" s="88">
        <f>DATE(2019,9,1)</f>
        <v>43709</v>
      </c>
      <c r="B33" s="89">
        <f>'MONTHLY STATS'!$K$11*0.21</f>
        <v>2682516.9797999999</v>
      </c>
      <c r="C33" s="89">
        <f>'MONTHLY STATS'!$K$17*0.21</f>
        <v>1347099.7259999998</v>
      </c>
      <c r="D33" s="89">
        <f>'MONTHLY STATS'!$K$23*0.21</f>
        <v>653521.67790000001</v>
      </c>
      <c r="E33" s="89">
        <f>'MONTHLY STATS'!$K$29*0.21</f>
        <v>3975747.0710999998</v>
      </c>
      <c r="F33" s="89">
        <f>'MONTHLY STATS'!$K$35*0.21</f>
        <v>3075068.3207999999</v>
      </c>
      <c r="G33" s="89">
        <f>'MONTHLY STATS'!$K$41*0.21</f>
        <v>1064622.0311999999</v>
      </c>
      <c r="H33" s="89">
        <f>'MONTHLY STATS'!$K$47*0.21</f>
        <v>1067073.9975000001</v>
      </c>
      <c r="I33" s="89">
        <f>'MONTHLY STATS'!$K$53*0.21</f>
        <v>2580957.3509999998</v>
      </c>
      <c r="J33" s="89">
        <f>'MONTHLY STATS'!$K$59*0.21</f>
        <v>3247298.1302999998</v>
      </c>
      <c r="K33" s="89">
        <f>'MONTHLY STATS'!$K$65*0.21</f>
        <v>3876567.9813000001</v>
      </c>
      <c r="L33" s="89">
        <f>'MONTHLY STATS'!$K$71*0.21</f>
        <v>566536.21919999993</v>
      </c>
      <c r="M33" s="89">
        <f>'MONTHLY STATS'!$K$77*0.21</f>
        <v>4521489.4556999998</v>
      </c>
      <c r="N33" s="89">
        <f>'MONTHLY STATS'!$K$83*0.21</f>
        <v>708002.13749999995</v>
      </c>
      <c r="O33" s="90">
        <f>SUM(B33:N33)</f>
        <v>29366501.079299998</v>
      </c>
      <c r="P33" s="83"/>
    </row>
    <row r="34" spans="1:16" ht="15.75" x14ac:dyDescent="0.25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83"/>
    </row>
    <row r="35" spans="1:16" ht="15.75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83"/>
    </row>
    <row r="36" spans="1:16" ht="15.7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83"/>
    </row>
    <row r="37" spans="1:16" ht="15.75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83"/>
    </row>
    <row r="38" spans="1:16" ht="15.75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83"/>
    </row>
    <row r="39" spans="1:16" ht="15.75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29</v>
      </c>
      <c r="B44" s="90">
        <f t="shared" ref="B44:O44" si="1">SUM(B31:B42)</f>
        <v>8792454.0962999985</v>
      </c>
      <c r="C44" s="90">
        <f t="shared" si="1"/>
        <v>4273013.0687999995</v>
      </c>
      <c r="D44" s="90">
        <f t="shared" si="1"/>
        <v>2014959.9959999998</v>
      </c>
      <c r="E44" s="90">
        <f t="shared" si="1"/>
        <v>12750365.825399999</v>
      </c>
      <c r="F44" s="90">
        <f t="shared" si="1"/>
        <v>9303215.1407999992</v>
      </c>
      <c r="G44" s="90">
        <f t="shared" si="1"/>
        <v>3095890.9506000001</v>
      </c>
      <c r="H44" s="90">
        <f t="shared" si="1"/>
        <v>3357578.5845000003</v>
      </c>
      <c r="I44" s="90">
        <f>SUM(I31:I42)</f>
        <v>7931157.0386999995</v>
      </c>
      <c r="J44" s="90">
        <f t="shared" si="1"/>
        <v>10027550.7654</v>
      </c>
      <c r="K44" s="90">
        <f>SUM(K31:K42)</f>
        <v>11803682.022299999</v>
      </c>
      <c r="L44" s="90">
        <f t="shared" si="1"/>
        <v>1765514.1167999997</v>
      </c>
      <c r="M44" s="90">
        <f t="shared" si="1"/>
        <v>14181446.666099999</v>
      </c>
      <c r="N44" s="90">
        <f t="shared" si="1"/>
        <v>2154578.3952000001</v>
      </c>
      <c r="O44" s="90">
        <f t="shared" si="1"/>
        <v>91451406.666899994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x14ac:dyDescent="0.2">
      <c r="A48" s="287"/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</row>
    <row r="49" spans="1:9" ht="15.75" x14ac:dyDescent="0.25">
      <c r="A49" s="115" t="s">
        <v>31</v>
      </c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115"/>
      <c r="B50" s="98"/>
      <c r="C50" s="98"/>
      <c r="D50" s="98"/>
      <c r="E50" s="98"/>
      <c r="F50" s="98"/>
      <c r="G50" s="98"/>
      <c r="H50" s="98"/>
      <c r="I50" s="98"/>
    </row>
    <row r="51" spans="1:9" ht="15.75" x14ac:dyDescent="0.25">
      <c r="A51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2"/>
  <sheetViews>
    <sheetView showOutlineSymbols="0" topLeftCell="A56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32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72</v>
      </c>
      <c r="B3" s="117"/>
      <c r="C3" s="200"/>
      <c r="D3" s="200"/>
      <c r="E3" s="200"/>
      <c r="F3" s="117"/>
      <c r="G3" s="210"/>
    </row>
    <row r="4" spans="1:8" x14ac:dyDescent="0.2">
      <c r="A4" s="284" t="s">
        <v>73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33</v>
      </c>
      <c r="D6" s="201" t="s">
        <v>33</v>
      </c>
      <c r="E6" s="201" t="s">
        <v>3</v>
      </c>
      <c r="F6" s="122"/>
      <c r="G6" s="212" t="s">
        <v>34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35</v>
      </c>
      <c r="D7" s="202" t="s">
        <v>36</v>
      </c>
      <c r="E7" s="202" t="s">
        <v>36</v>
      </c>
      <c r="F7" s="126" t="s">
        <v>8</v>
      </c>
      <c r="G7" s="213" t="s">
        <v>37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38</v>
      </c>
      <c r="B9" s="131">
        <f>DATE(2019,7,1)</f>
        <v>43647</v>
      </c>
      <c r="C9" s="204">
        <v>11145172</v>
      </c>
      <c r="D9" s="204">
        <v>2192286.5</v>
      </c>
      <c r="E9" s="204">
        <v>1826329</v>
      </c>
      <c r="F9" s="132">
        <f>(+D9-E9)/E9</f>
        <v>0.20037873789443195</v>
      </c>
      <c r="G9" s="215">
        <f>D9/C9</f>
        <v>0.19670279651135039</v>
      </c>
      <c r="H9" s="123"/>
    </row>
    <row r="10" spans="1:8" ht="15.75" x14ac:dyDescent="0.25">
      <c r="A10" s="130"/>
      <c r="B10" s="131">
        <f>DATE(2019,8,1)</f>
        <v>43678</v>
      </c>
      <c r="C10" s="204">
        <v>9635568</v>
      </c>
      <c r="D10" s="204">
        <v>1845303</v>
      </c>
      <c r="E10" s="204">
        <v>1679235.5</v>
      </c>
      <c r="F10" s="132">
        <f>(+D10-E10)/E10</f>
        <v>9.8894705358480092E-2</v>
      </c>
      <c r="G10" s="215">
        <f>D10/C10</f>
        <v>0.19150951972940256</v>
      </c>
      <c r="H10" s="123"/>
    </row>
    <row r="11" spans="1:8" ht="15.75" x14ac:dyDescent="0.25">
      <c r="A11" s="130"/>
      <c r="B11" s="131">
        <f>DATE(2019,9,1)</f>
        <v>43709</v>
      </c>
      <c r="C11" s="204">
        <v>9952207.5</v>
      </c>
      <c r="D11" s="204">
        <v>1703371</v>
      </c>
      <c r="E11" s="204">
        <v>2056251</v>
      </c>
      <c r="F11" s="132">
        <f>(+D11-E11)/E11</f>
        <v>-0.17161329040083143</v>
      </c>
      <c r="G11" s="215">
        <f>D11/C11</f>
        <v>0.17115509297811565</v>
      </c>
      <c r="H11" s="123"/>
    </row>
    <row r="12" spans="1:8" ht="15.75" thickBot="1" x14ac:dyDescent="0.25">
      <c r="A12" s="133"/>
      <c r="B12" s="134"/>
      <c r="C12" s="204"/>
      <c r="D12" s="204"/>
      <c r="E12" s="204"/>
      <c r="F12" s="132"/>
      <c r="G12" s="215"/>
      <c r="H12" s="123"/>
    </row>
    <row r="13" spans="1:8" ht="17.25" thickTop="1" thickBot="1" x14ac:dyDescent="0.3">
      <c r="A13" s="135" t="s">
        <v>14</v>
      </c>
      <c r="B13" s="136"/>
      <c r="C13" s="201">
        <f>SUM(C9:C12)</f>
        <v>30732947.5</v>
      </c>
      <c r="D13" s="201">
        <f>SUM(D9:D12)</f>
        <v>5740960.5</v>
      </c>
      <c r="E13" s="201">
        <f>SUM(E9:E12)</f>
        <v>5561815.5</v>
      </c>
      <c r="F13" s="137">
        <f>(+D13-E13)/E13</f>
        <v>3.220980631234531E-2</v>
      </c>
      <c r="G13" s="212">
        <f>D13/C13</f>
        <v>0.18680149373892627</v>
      </c>
      <c r="H13" s="123"/>
    </row>
    <row r="14" spans="1:8" ht="15.75" customHeight="1" thickTop="1" x14ac:dyDescent="0.25">
      <c r="A14" s="138"/>
      <c r="B14" s="139"/>
      <c r="C14" s="205"/>
      <c r="D14" s="205"/>
      <c r="E14" s="205"/>
      <c r="F14" s="140"/>
      <c r="G14" s="216"/>
      <c r="H14" s="123"/>
    </row>
    <row r="15" spans="1:8" ht="15.75" x14ac:dyDescent="0.25">
      <c r="A15" s="19" t="s">
        <v>15</v>
      </c>
      <c r="B15" s="131">
        <f>DATE(2019,7,1)</f>
        <v>43647</v>
      </c>
      <c r="C15" s="204">
        <v>2591163</v>
      </c>
      <c r="D15" s="204">
        <v>728719</v>
      </c>
      <c r="E15" s="204">
        <v>544502.5</v>
      </c>
      <c r="F15" s="132">
        <f>(+D15-E15)/E15</f>
        <v>0.33832076069439532</v>
      </c>
      <c r="G15" s="215">
        <f>D15/C15</f>
        <v>0.28123240413667533</v>
      </c>
      <c r="H15" s="123"/>
    </row>
    <row r="16" spans="1:8" ht="15.75" x14ac:dyDescent="0.25">
      <c r="A16" s="19"/>
      <c r="B16" s="131">
        <f>DATE(2019,8,1)</f>
        <v>43678</v>
      </c>
      <c r="C16" s="204">
        <v>2727354</v>
      </c>
      <c r="D16" s="204">
        <v>718107.5</v>
      </c>
      <c r="E16" s="204">
        <v>656165</v>
      </c>
      <c r="F16" s="132">
        <f>(+D16-E16)/E16</f>
        <v>9.440079857962555E-2</v>
      </c>
      <c r="G16" s="215">
        <f>D16/C16</f>
        <v>0.26329823704586935</v>
      </c>
      <c r="H16" s="123"/>
    </row>
    <row r="17" spans="1:8" ht="15.75" x14ac:dyDescent="0.25">
      <c r="A17" s="19"/>
      <c r="B17" s="131">
        <f>DATE(2019,9,1)</f>
        <v>43709</v>
      </c>
      <c r="C17" s="204">
        <v>2626262</v>
      </c>
      <c r="D17" s="204">
        <v>573243</v>
      </c>
      <c r="E17" s="204">
        <v>251895.5</v>
      </c>
      <c r="F17" s="132">
        <f>(+D17-E17)/E17</f>
        <v>1.2757175098403901</v>
      </c>
      <c r="G17" s="215">
        <f>D17/C17</f>
        <v>0.21827334820364458</v>
      </c>
      <c r="H17" s="123"/>
    </row>
    <row r="18" spans="1:8" ht="15.75" thickBot="1" x14ac:dyDescent="0.25">
      <c r="A18" s="133"/>
      <c r="B18" s="131"/>
      <c r="C18" s="204"/>
      <c r="D18" s="204"/>
      <c r="E18" s="204"/>
      <c r="F18" s="132"/>
      <c r="G18" s="215"/>
      <c r="H18" s="123"/>
    </row>
    <row r="19" spans="1:8" ht="17.25" thickTop="1" thickBot="1" x14ac:dyDescent="0.3">
      <c r="A19" s="135" t="s">
        <v>14</v>
      </c>
      <c r="B19" s="136"/>
      <c r="C19" s="201">
        <f>SUM(C15:C18)</f>
        <v>7944779</v>
      </c>
      <c r="D19" s="201">
        <f>SUM(D15:D18)</f>
        <v>2020069.5</v>
      </c>
      <c r="E19" s="201">
        <f>SUM(E15:E18)</f>
        <v>1452563</v>
      </c>
      <c r="F19" s="137">
        <f>(+D19-E19)/E19</f>
        <v>0.39069320917578104</v>
      </c>
      <c r="G19" s="212">
        <f>D19/C19</f>
        <v>0.25426377498983926</v>
      </c>
      <c r="H19" s="123"/>
    </row>
    <row r="20" spans="1:8" ht="15.75" customHeight="1" thickTop="1" x14ac:dyDescent="0.25">
      <c r="A20" s="255"/>
      <c r="B20" s="139"/>
      <c r="C20" s="205"/>
      <c r="D20" s="205"/>
      <c r="E20" s="205"/>
      <c r="F20" s="140"/>
      <c r="G20" s="219"/>
      <c r="H20" s="123"/>
    </row>
    <row r="21" spans="1:8" ht="15.75" x14ac:dyDescent="0.25">
      <c r="A21" s="19" t="s">
        <v>56</v>
      </c>
      <c r="B21" s="131">
        <f>DATE(2019,7,1)</f>
        <v>43647</v>
      </c>
      <c r="C21" s="204">
        <v>1246714</v>
      </c>
      <c r="D21" s="204">
        <v>293379.5</v>
      </c>
      <c r="E21" s="204">
        <v>373264</v>
      </c>
      <c r="F21" s="132">
        <f>(+D21-E21)/E21</f>
        <v>-0.2140160851300956</v>
      </c>
      <c r="G21" s="215">
        <f>D21/C21</f>
        <v>0.23532221503889425</v>
      </c>
      <c r="H21" s="123"/>
    </row>
    <row r="22" spans="1:8" ht="15.75" x14ac:dyDescent="0.25">
      <c r="A22" s="19"/>
      <c r="B22" s="131">
        <f>DATE(2019,8,1)</f>
        <v>43678</v>
      </c>
      <c r="C22" s="204">
        <v>1240704</v>
      </c>
      <c r="D22" s="204">
        <v>306469</v>
      </c>
      <c r="E22" s="204">
        <v>339140.5</v>
      </c>
      <c r="F22" s="132">
        <f>(+D22-E22)/E22</f>
        <v>-9.6336179253141391E-2</v>
      </c>
      <c r="G22" s="215">
        <f>D22/C22</f>
        <v>0.24701218018157434</v>
      </c>
      <c r="H22" s="123"/>
    </row>
    <row r="23" spans="1:8" ht="15.75" x14ac:dyDescent="0.25">
      <c r="A23" s="19"/>
      <c r="B23" s="131">
        <f>DATE(2019,9,1)</f>
        <v>43709</v>
      </c>
      <c r="C23" s="204">
        <v>1288109</v>
      </c>
      <c r="D23" s="204">
        <v>301048.5</v>
      </c>
      <c r="E23" s="204">
        <v>349109</v>
      </c>
      <c r="F23" s="132">
        <f>(+D23-E23)/E23</f>
        <v>-0.13766617302905396</v>
      </c>
      <c r="G23" s="215">
        <f>D23/C23</f>
        <v>0.23371352890166905</v>
      </c>
      <c r="H23" s="123"/>
    </row>
    <row r="24" spans="1:8" ht="15.75" thickBot="1" x14ac:dyDescent="0.25">
      <c r="A24" s="133"/>
      <c r="B24" s="131"/>
      <c r="C24" s="204"/>
      <c r="D24" s="204"/>
      <c r="E24" s="204"/>
      <c r="F24" s="132"/>
      <c r="G24" s="215"/>
      <c r="H24" s="123"/>
    </row>
    <row r="25" spans="1:8" ht="17.25" thickTop="1" thickBot="1" x14ac:dyDescent="0.3">
      <c r="A25" s="141" t="s">
        <v>14</v>
      </c>
      <c r="B25" s="142"/>
      <c r="C25" s="206">
        <f>SUM(C21:C24)</f>
        <v>3775527</v>
      </c>
      <c r="D25" s="206">
        <f>SUM(D21:D24)</f>
        <v>900897</v>
      </c>
      <c r="E25" s="206">
        <f>SUM(E21:E24)</f>
        <v>1061513.5</v>
      </c>
      <c r="F25" s="143">
        <f>(+D25-E25)/E25</f>
        <v>-0.15130895650408591</v>
      </c>
      <c r="G25" s="217">
        <f>D25/C25</f>
        <v>0.23861490064830684</v>
      </c>
      <c r="H25" s="123"/>
    </row>
    <row r="26" spans="1:8" ht="15.75" thickTop="1" x14ac:dyDescent="0.2">
      <c r="A26" s="133"/>
      <c r="B26" s="134"/>
      <c r="C26" s="204"/>
      <c r="D26" s="204"/>
      <c r="E26" s="204"/>
      <c r="F26" s="132"/>
      <c r="G26" s="218"/>
      <c r="H26" s="123"/>
    </row>
    <row r="27" spans="1:8" ht="15.75" x14ac:dyDescent="0.25">
      <c r="A27" s="177" t="s">
        <v>65</v>
      </c>
      <c r="B27" s="131">
        <f>DATE(2019,7,1)</f>
        <v>43647</v>
      </c>
      <c r="C27" s="204">
        <v>16460624.75</v>
      </c>
      <c r="D27" s="204">
        <v>3167330.9</v>
      </c>
      <c r="E27" s="204">
        <v>2640847.2400000002</v>
      </c>
      <c r="F27" s="132">
        <f>(+D27-E27)/E27</f>
        <v>0.19936164880176849</v>
      </c>
      <c r="G27" s="215">
        <f>D27/C27</f>
        <v>0.19241863222718808</v>
      </c>
      <c r="H27" s="123"/>
    </row>
    <row r="28" spans="1:8" ht="15.75" x14ac:dyDescent="0.25">
      <c r="A28" s="177"/>
      <c r="B28" s="131">
        <f>DATE(2019,8,1)</f>
        <v>43678</v>
      </c>
      <c r="C28" s="204">
        <v>17103013</v>
      </c>
      <c r="D28" s="204">
        <v>3869820.12</v>
      </c>
      <c r="E28" s="204">
        <v>3019576.86</v>
      </c>
      <c r="F28" s="132">
        <f>(+D28-E28)/E28</f>
        <v>0.28157695578578523</v>
      </c>
      <c r="G28" s="215">
        <f>D28/C28</f>
        <v>0.2262654024761602</v>
      </c>
      <c r="H28" s="123"/>
    </row>
    <row r="29" spans="1:8" ht="15.75" x14ac:dyDescent="0.25">
      <c r="A29" s="177"/>
      <c r="B29" s="131">
        <f>DATE(2019,9,1)</f>
        <v>43709</v>
      </c>
      <c r="C29" s="204">
        <v>13722156.5</v>
      </c>
      <c r="D29" s="204">
        <v>2776000.96</v>
      </c>
      <c r="E29" s="204">
        <v>3074145.25</v>
      </c>
      <c r="F29" s="132">
        <f>(+D29-E29)/E29</f>
        <v>-9.698445120639633E-2</v>
      </c>
      <c r="G29" s="215">
        <f>D29/C29</f>
        <v>0.20230063401477749</v>
      </c>
      <c r="H29" s="123"/>
    </row>
    <row r="30" spans="1:8" ht="15.75" customHeight="1" thickBot="1" x14ac:dyDescent="0.25">
      <c r="A30" s="133"/>
      <c r="B30" s="134"/>
      <c r="C30" s="204"/>
      <c r="D30" s="204"/>
      <c r="E30" s="204"/>
      <c r="F30" s="132"/>
      <c r="G30" s="215"/>
      <c r="H30" s="123"/>
    </row>
    <row r="31" spans="1:8" ht="17.25" customHeight="1" thickTop="1" thickBot="1" x14ac:dyDescent="0.3">
      <c r="A31" s="141" t="s">
        <v>14</v>
      </c>
      <c r="B31" s="142"/>
      <c r="C31" s="206">
        <f>SUM(C27:C30)</f>
        <v>47285794.25</v>
      </c>
      <c r="D31" s="206">
        <f>SUM(D27:D30)</f>
        <v>9813151.9800000004</v>
      </c>
      <c r="E31" s="206">
        <f>SUM(E27:E30)</f>
        <v>8734569.3499999996</v>
      </c>
      <c r="F31" s="143">
        <f>(+D31-E31)/E31</f>
        <v>0.12348435129203031</v>
      </c>
      <c r="G31" s="217">
        <f>D31/C31</f>
        <v>0.20752854288790973</v>
      </c>
      <c r="H31" s="123"/>
    </row>
    <row r="32" spans="1:8" ht="15.75" customHeight="1" thickTop="1" x14ac:dyDescent="0.2">
      <c r="A32" s="133"/>
      <c r="B32" s="134"/>
      <c r="C32" s="204"/>
      <c r="D32" s="204"/>
      <c r="E32" s="204"/>
      <c r="F32" s="132"/>
      <c r="G32" s="218"/>
      <c r="H32" s="123"/>
    </row>
    <row r="33" spans="1:8" ht="15" customHeight="1" x14ac:dyDescent="0.25">
      <c r="A33" s="130" t="s">
        <v>39</v>
      </c>
      <c r="B33" s="131">
        <f>DATE(2019,7,1)</f>
        <v>43647</v>
      </c>
      <c r="C33" s="204">
        <v>14612843</v>
      </c>
      <c r="D33" s="204">
        <v>2665528.5</v>
      </c>
      <c r="E33" s="204">
        <v>3513953.5</v>
      </c>
      <c r="F33" s="132">
        <f>(+D33-E33)/E33</f>
        <v>-0.241444572331421</v>
      </c>
      <c r="G33" s="215">
        <f>D33/C33</f>
        <v>0.1824099868861932</v>
      </c>
      <c r="H33" s="123"/>
    </row>
    <row r="34" spans="1:8" ht="15" customHeight="1" x14ac:dyDescent="0.25">
      <c r="A34" s="130"/>
      <c r="B34" s="131">
        <f>DATE(2019,8,1)</f>
        <v>43678</v>
      </c>
      <c r="C34" s="204">
        <v>15994186</v>
      </c>
      <c r="D34" s="204">
        <v>3359489.5</v>
      </c>
      <c r="E34" s="204">
        <v>3570821.5</v>
      </c>
      <c r="F34" s="132">
        <f>(+D34-E34)/E34</f>
        <v>-5.9183019929727652E-2</v>
      </c>
      <c r="G34" s="215">
        <f>D34/C34</f>
        <v>0.21004441864062354</v>
      </c>
      <c r="H34" s="123"/>
    </row>
    <row r="35" spans="1:8" ht="15" customHeight="1" x14ac:dyDescent="0.25">
      <c r="A35" s="130"/>
      <c r="B35" s="131">
        <f>DATE(2019,9,1)</f>
        <v>43709</v>
      </c>
      <c r="C35" s="204">
        <v>14986232</v>
      </c>
      <c r="D35" s="204">
        <v>3201605.5</v>
      </c>
      <c r="E35" s="204">
        <v>3367544</v>
      </c>
      <c r="F35" s="132">
        <f>(+D35-E35)/E35</f>
        <v>-4.9275822379752129E-2</v>
      </c>
      <c r="G35" s="215">
        <f>D35/C35</f>
        <v>0.21363645644882584</v>
      </c>
      <c r="H35" s="123"/>
    </row>
    <row r="36" spans="1:8" ht="15.75" thickBot="1" x14ac:dyDescent="0.25">
      <c r="A36" s="133"/>
      <c r="B36" s="131"/>
      <c r="C36" s="204"/>
      <c r="D36" s="204"/>
      <c r="E36" s="204"/>
      <c r="F36" s="132"/>
      <c r="G36" s="215"/>
      <c r="H36" s="123"/>
    </row>
    <row r="37" spans="1:8" ht="17.25" customHeight="1" thickTop="1" thickBot="1" x14ac:dyDescent="0.3">
      <c r="A37" s="141" t="s">
        <v>14</v>
      </c>
      <c r="B37" s="142"/>
      <c r="C37" s="207">
        <f>SUM(C33:C36)</f>
        <v>45593261</v>
      </c>
      <c r="D37" s="261">
        <f>SUM(D33:D36)</f>
        <v>9226623.5</v>
      </c>
      <c r="E37" s="206">
        <f>SUM(E33:E36)</f>
        <v>10452319</v>
      </c>
      <c r="F37" s="268">
        <f>(+D37-E37)/E37</f>
        <v>-0.11726541258451832</v>
      </c>
      <c r="G37" s="267">
        <f>D37/C37</f>
        <v>0.20236814164268707</v>
      </c>
      <c r="H37" s="123"/>
    </row>
    <row r="38" spans="1:8" ht="15.75" customHeight="1" thickTop="1" x14ac:dyDescent="0.25">
      <c r="A38" s="130"/>
      <c r="B38" s="134"/>
      <c r="C38" s="204"/>
      <c r="D38" s="204"/>
      <c r="E38" s="204"/>
      <c r="F38" s="132"/>
      <c r="G38" s="218"/>
      <c r="H38" s="123"/>
    </row>
    <row r="39" spans="1:8" ht="15.75" x14ac:dyDescent="0.25">
      <c r="A39" s="130" t="s">
        <v>66</v>
      </c>
      <c r="B39" s="131">
        <f>DATE(2019,7,1)</f>
        <v>43647</v>
      </c>
      <c r="C39" s="204">
        <v>2326207</v>
      </c>
      <c r="D39" s="204">
        <v>550912.5</v>
      </c>
      <c r="E39" s="204">
        <v>682875.5</v>
      </c>
      <c r="F39" s="132">
        <f>(+D39-E39)/E39</f>
        <v>-0.19324606022620522</v>
      </c>
      <c r="G39" s="215">
        <f>D39/C39</f>
        <v>0.23682866572063449</v>
      </c>
      <c r="H39" s="123"/>
    </row>
    <row r="40" spans="1:8" ht="15.75" x14ac:dyDescent="0.25">
      <c r="A40" s="130"/>
      <c r="B40" s="131">
        <f>DATE(2019,8,1)</f>
        <v>43678</v>
      </c>
      <c r="C40" s="204">
        <v>2456667</v>
      </c>
      <c r="D40" s="204">
        <v>544892.5</v>
      </c>
      <c r="E40" s="204">
        <v>651283.5</v>
      </c>
      <c r="F40" s="132">
        <f>(+D40-E40)/E40</f>
        <v>-0.16335589647212007</v>
      </c>
      <c r="G40" s="215">
        <f>D40/C40</f>
        <v>0.22180153028473129</v>
      </c>
      <c r="H40" s="123"/>
    </row>
    <row r="41" spans="1:8" ht="15.75" x14ac:dyDescent="0.25">
      <c r="A41" s="130"/>
      <c r="B41" s="131">
        <f>DATE(2019,9,1)</f>
        <v>43709</v>
      </c>
      <c r="C41" s="204">
        <v>2398271</v>
      </c>
      <c r="D41" s="204">
        <v>648210.4</v>
      </c>
      <c r="E41" s="204">
        <v>584999.5</v>
      </c>
      <c r="F41" s="132">
        <f>(+D41-E41)/E41</f>
        <v>0.10805291286573754</v>
      </c>
      <c r="G41" s="215">
        <f>D41/C41</f>
        <v>0.27028238259979792</v>
      </c>
      <c r="H41" s="123"/>
    </row>
    <row r="42" spans="1:8" ht="15.75" customHeight="1" thickBot="1" x14ac:dyDescent="0.3">
      <c r="A42" s="130"/>
      <c r="B42" s="131"/>
      <c r="C42" s="204"/>
      <c r="D42" s="204"/>
      <c r="E42" s="204"/>
      <c r="F42" s="132"/>
      <c r="G42" s="215"/>
      <c r="H42" s="123"/>
    </row>
    <row r="43" spans="1:8" ht="17.25" thickTop="1" thickBot="1" x14ac:dyDescent="0.3">
      <c r="A43" s="141" t="s">
        <v>14</v>
      </c>
      <c r="B43" s="142"/>
      <c r="C43" s="207">
        <f>SUM(C39:C42)</f>
        <v>7181145</v>
      </c>
      <c r="D43" s="261">
        <f>SUM(D39:D42)</f>
        <v>1744015.4</v>
      </c>
      <c r="E43" s="207">
        <f>SUM(E39:E42)</f>
        <v>1919158.5</v>
      </c>
      <c r="F43" s="268">
        <f>(+D43-E43)/E43</f>
        <v>-9.1260362288992855E-2</v>
      </c>
      <c r="G43" s="267">
        <f>D43/C43</f>
        <v>0.24286035165701289</v>
      </c>
      <c r="H43" s="123"/>
    </row>
    <row r="44" spans="1:8" ht="15.75" customHeight="1" thickTop="1" x14ac:dyDescent="0.25">
      <c r="A44" s="130"/>
      <c r="B44" s="134"/>
      <c r="C44" s="204"/>
      <c r="D44" s="204"/>
      <c r="E44" s="204"/>
      <c r="F44" s="132"/>
      <c r="G44" s="218"/>
      <c r="H44" s="123"/>
    </row>
    <row r="45" spans="1:8" ht="15.75" x14ac:dyDescent="0.25">
      <c r="A45" s="130" t="s">
        <v>17</v>
      </c>
      <c r="B45" s="131">
        <f>DATE(2019,7,1)</f>
        <v>43647</v>
      </c>
      <c r="C45" s="204">
        <v>1428358</v>
      </c>
      <c r="D45" s="204">
        <v>255421</v>
      </c>
      <c r="E45" s="204">
        <v>395162.5</v>
      </c>
      <c r="F45" s="132">
        <f>(+D45-E45)/E45</f>
        <v>-0.35363046847815771</v>
      </c>
      <c r="G45" s="215">
        <f>D45/C45</f>
        <v>0.17882141591953837</v>
      </c>
      <c r="H45" s="123"/>
    </row>
    <row r="46" spans="1:8" ht="15.75" x14ac:dyDescent="0.25">
      <c r="A46" s="130"/>
      <c r="B46" s="131">
        <f>DATE(2019,8,1)</f>
        <v>43678</v>
      </c>
      <c r="C46" s="204">
        <v>1645771</v>
      </c>
      <c r="D46" s="204">
        <v>366605.5</v>
      </c>
      <c r="E46" s="204">
        <v>271146</v>
      </c>
      <c r="F46" s="132">
        <f>(+D46-E46)/E46</f>
        <v>0.35205940710908512</v>
      </c>
      <c r="G46" s="215">
        <f>D46/C46</f>
        <v>0.22275608210376777</v>
      </c>
      <c r="H46" s="123"/>
    </row>
    <row r="47" spans="1:8" ht="15.75" x14ac:dyDescent="0.25">
      <c r="A47" s="130"/>
      <c r="B47" s="131">
        <f>DATE(2019,9,1)</f>
        <v>43709</v>
      </c>
      <c r="C47" s="204">
        <v>1422549</v>
      </c>
      <c r="D47" s="204">
        <v>323382</v>
      </c>
      <c r="E47" s="204">
        <v>347747</v>
      </c>
      <c r="F47" s="132">
        <f>(+D47-E47)/E47</f>
        <v>-7.0065306098974253E-2</v>
      </c>
      <c r="G47" s="215">
        <f>D47/C47</f>
        <v>0.22732573710993434</v>
      </c>
      <c r="H47" s="123"/>
    </row>
    <row r="48" spans="1:8" ht="15.75" customHeight="1" thickBot="1" x14ac:dyDescent="0.3">
      <c r="A48" s="130"/>
      <c r="B48" s="131"/>
      <c r="C48" s="204"/>
      <c r="D48" s="204"/>
      <c r="E48" s="204"/>
      <c r="F48" s="132"/>
      <c r="G48" s="215"/>
      <c r="H48" s="123"/>
    </row>
    <row r="49" spans="1:8" ht="17.25" thickTop="1" thickBot="1" x14ac:dyDescent="0.3">
      <c r="A49" s="141" t="s">
        <v>14</v>
      </c>
      <c r="B49" s="142"/>
      <c r="C49" s="207">
        <f>SUM(C45:C48)</f>
        <v>4496678</v>
      </c>
      <c r="D49" s="261">
        <f>SUM(D45:D48)</f>
        <v>945408.5</v>
      </c>
      <c r="E49" s="207">
        <f>SUM(E45:E48)</f>
        <v>1014055.5</v>
      </c>
      <c r="F49" s="269">
        <f>(+D49-E49)/E49</f>
        <v>-6.769550581797544E-2</v>
      </c>
      <c r="G49" s="267">
        <f>D49/C49</f>
        <v>0.21024598603680317</v>
      </c>
      <c r="H49" s="123"/>
    </row>
    <row r="50" spans="1:8" ht="15.75" customHeight="1" thickTop="1" x14ac:dyDescent="0.25">
      <c r="A50" s="130"/>
      <c r="B50" s="139"/>
      <c r="C50" s="205"/>
      <c r="D50" s="205"/>
      <c r="E50" s="205"/>
      <c r="F50" s="140"/>
      <c r="G50" s="216"/>
      <c r="H50" s="123"/>
    </row>
    <row r="51" spans="1:8" ht="15.75" x14ac:dyDescent="0.25">
      <c r="A51" s="130" t="s">
        <v>55</v>
      </c>
      <c r="B51" s="131">
        <f>DATE(2019,7,1)</f>
        <v>43647</v>
      </c>
      <c r="C51" s="204">
        <v>11352765</v>
      </c>
      <c r="D51" s="204">
        <v>1702754.86</v>
      </c>
      <c r="E51" s="204">
        <v>2057880.1</v>
      </c>
      <c r="F51" s="132">
        <f>(+D51-E51)/E51</f>
        <v>-0.17256847957274088</v>
      </c>
      <c r="G51" s="215">
        <f>D51/C51</f>
        <v>0.14998591620631627</v>
      </c>
      <c r="H51" s="123"/>
    </row>
    <row r="52" spans="1:8" ht="15.75" x14ac:dyDescent="0.25">
      <c r="A52" s="130"/>
      <c r="B52" s="131">
        <f>DATE(2019,8,1)</f>
        <v>43678</v>
      </c>
      <c r="C52" s="204">
        <v>11116688</v>
      </c>
      <c r="D52" s="204">
        <v>2308275.88</v>
      </c>
      <c r="E52" s="204">
        <v>2105874.34</v>
      </c>
      <c r="F52" s="132">
        <f>(+D52-E52)/E52</f>
        <v>9.6112828840490105E-2</v>
      </c>
      <c r="G52" s="215">
        <f>D52/C52</f>
        <v>0.20764061022491589</v>
      </c>
      <c r="H52" s="123"/>
    </row>
    <row r="53" spans="1:8" ht="15.75" x14ac:dyDescent="0.25">
      <c r="A53" s="130"/>
      <c r="B53" s="131">
        <f>DATE(2019,9,1)</f>
        <v>43709</v>
      </c>
      <c r="C53" s="204">
        <v>10317715</v>
      </c>
      <c r="D53" s="204">
        <v>1996051.56</v>
      </c>
      <c r="E53" s="204">
        <v>2555133.64</v>
      </c>
      <c r="F53" s="132">
        <f>(+D53-E53)/E53</f>
        <v>-0.21880737322216934</v>
      </c>
      <c r="G53" s="215">
        <f>D53/C53</f>
        <v>0.19345868343911418</v>
      </c>
      <c r="H53" s="123"/>
    </row>
    <row r="54" spans="1:8" ht="15.75" customHeight="1" thickBot="1" x14ac:dyDescent="0.3">
      <c r="A54" s="130"/>
      <c r="B54" s="131"/>
      <c r="C54" s="204"/>
      <c r="D54" s="204"/>
      <c r="E54" s="204"/>
      <c r="F54" s="132"/>
      <c r="G54" s="215"/>
      <c r="H54" s="123"/>
    </row>
    <row r="55" spans="1:8" ht="17.25" thickTop="1" thickBot="1" x14ac:dyDescent="0.3">
      <c r="A55" s="141" t="s">
        <v>14</v>
      </c>
      <c r="B55" s="142"/>
      <c r="C55" s="206">
        <f>SUM(C51:C54)</f>
        <v>32787168</v>
      </c>
      <c r="D55" s="206">
        <f>SUM(D51:D54)</f>
        <v>6007082.3000000007</v>
      </c>
      <c r="E55" s="206">
        <f>SUM(E51:E54)</f>
        <v>6718888.0800000001</v>
      </c>
      <c r="F55" s="143">
        <f>(+D55-E55)/E55</f>
        <v>-0.10594100861998572</v>
      </c>
      <c r="G55" s="217">
        <f>D55/C55</f>
        <v>0.18321443010875477</v>
      </c>
      <c r="H55" s="123"/>
    </row>
    <row r="56" spans="1:8" ht="15.75" customHeight="1" thickTop="1" x14ac:dyDescent="0.25">
      <c r="A56" s="138"/>
      <c r="B56" s="139"/>
      <c r="C56" s="205"/>
      <c r="D56" s="205"/>
      <c r="E56" s="205"/>
      <c r="F56" s="140"/>
      <c r="G56" s="216"/>
      <c r="H56" s="123"/>
    </row>
    <row r="57" spans="1:8" ht="15.75" x14ac:dyDescent="0.25">
      <c r="A57" s="130" t="s">
        <v>18</v>
      </c>
      <c r="B57" s="131">
        <f>DATE(2019,7,1)</f>
        <v>43647</v>
      </c>
      <c r="C57" s="204">
        <v>12048647</v>
      </c>
      <c r="D57" s="204">
        <v>2126440.5</v>
      </c>
      <c r="E57" s="204">
        <v>2729067.84</v>
      </c>
      <c r="F57" s="132">
        <f>(+D57-E57)/E57</f>
        <v>-0.22081801381676167</v>
      </c>
      <c r="G57" s="215">
        <f>D57/C57</f>
        <v>0.17648790772939069</v>
      </c>
      <c r="H57" s="123"/>
    </row>
    <row r="58" spans="1:8" ht="15.75" x14ac:dyDescent="0.25">
      <c r="A58" s="130"/>
      <c r="B58" s="131">
        <f>DATE(2019,8,1)</f>
        <v>43678</v>
      </c>
      <c r="C58" s="204">
        <v>12757078</v>
      </c>
      <c r="D58" s="204">
        <v>2726871</v>
      </c>
      <c r="E58" s="204">
        <v>2970026</v>
      </c>
      <c r="F58" s="132">
        <f>(+D58-E58)/E58</f>
        <v>-8.1869653666331546E-2</v>
      </c>
      <c r="G58" s="215">
        <f>D58/C58</f>
        <v>0.21375357272253098</v>
      </c>
      <c r="H58" s="123"/>
    </row>
    <row r="59" spans="1:8" ht="15.75" x14ac:dyDescent="0.25">
      <c r="A59" s="130"/>
      <c r="B59" s="131">
        <f>DATE(2019,9,1)</f>
        <v>43709</v>
      </c>
      <c r="C59" s="204">
        <v>12239206</v>
      </c>
      <c r="D59" s="204">
        <v>2676876</v>
      </c>
      <c r="E59" s="204">
        <v>2637413.5</v>
      </c>
      <c r="F59" s="132">
        <f>(+D59-E59)/E59</f>
        <v>1.4962576023820307E-2</v>
      </c>
      <c r="G59" s="215">
        <f>D59/C59</f>
        <v>0.21871320737636085</v>
      </c>
      <c r="H59" s="123"/>
    </row>
    <row r="60" spans="1:8" ht="15.75" customHeight="1" thickBot="1" x14ac:dyDescent="0.3">
      <c r="A60" s="130"/>
      <c r="B60" s="131"/>
      <c r="C60" s="204"/>
      <c r="D60" s="204"/>
      <c r="E60" s="204"/>
      <c r="F60" s="132"/>
      <c r="G60" s="215"/>
      <c r="H60" s="123"/>
    </row>
    <row r="61" spans="1:8" ht="17.25" thickTop="1" thickBot="1" x14ac:dyDescent="0.3">
      <c r="A61" s="141" t="s">
        <v>14</v>
      </c>
      <c r="B61" s="142"/>
      <c r="C61" s="206">
        <f>SUM(C57:C60)</f>
        <v>37044931</v>
      </c>
      <c r="D61" s="206">
        <f>SUM(D57:D60)</f>
        <v>7530187.5</v>
      </c>
      <c r="E61" s="206">
        <f>SUM(E57:E60)</f>
        <v>8336507.3399999999</v>
      </c>
      <c r="F61" s="143">
        <f>(+D61-E61)/E61</f>
        <v>-9.6721541421925974E-2</v>
      </c>
      <c r="G61" s="217">
        <f>D61/C61</f>
        <v>0.20327173777162658</v>
      </c>
      <c r="H61" s="123"/>
    </row>
    <row r="62" spans="1:8" ht="15.75" customHeight="1" thickTop="1" x14ac:dyDescent="0.25">
      <c r="A62" s="138"/>
      <c r="B62" s="139"/>
      <c r="C62" s="205"/>
      <c r="D62" s="205"/>
      <c r="E62" s="205"/>
      <c r="F62" s="140"/>
      <c r="G62" s="216"/>
      <c r="H62" s="123"/>
    </row>
    <row r="63" spans="1:8" ht="15.75" x14ac:dyDescent="0.25">
      <c r="A63" s="130" t="s">
        <v>58</v>
      </c>
      <c r="B63" s="131">
        <f>DATE(2019,7,1)</f>
        <v>43647</v>
      </c>
      <c r="C63" s="204">
        <v>11570649</v>
      </c>
      <c r="D63" s="204">
        <v>1977732.9</v>
      </c>
      <c r="E63" s="204">
        <v>2887936.73</v>
      </c>
      <c r="F63" s="132">
        <f>(+D63-E63)/E63</f>
        <v>-0.31517443597180195</v>
      </c>
      <c r="G63" s="215">
        <f>D63/C63</f>
        <v>0.17092670428426271</v>
      </c>
      <c r="H63" s="123"/>
    </row>
    <row r="64" spans="1:8" ht="15.75" x14ac:dyDescent="0.25">
      <c r="A64" s="130"/>
      <c r="B64" s="131">
        <f>DATE(2019,8,1)</f>
        <v>43678</v>
      </c>
      <c r="C64" s="204">
        <v>12902308</v>
      </c>
      <c r="D64" s="204">
        <v>2649402.5</v>
      </c>
      <c r="E64" s="204">
        <v>2450226.84</v>
      </c>
      <c r="F64" s="132">
        <f>(+D64-E64)/E64</f>
        <v>8.1288661420425942E-2</v>
      </c>
      <c r="G64" s="215">
        <f>D64/C64</f>
        <v>0.20534329981891611</v>
      </c>
      <c r="H64" s="123"/>
    </row>
    <row r="65" spans="1:8" ht="15.75" x14ac:dyDescent="0.25">
      <c r="A65" s="130"/>
      <c r="B65" s="131">
        <f>DATE(2019,9,1)</f>
        <v>43709</v>
      </c>
      <c r="C65" s="204">
        <v>12612498</v>
      </c>
      <c r="D65" s="204">
        <v>2515306.23</v>
      </c>
      <c r="E65" s="204">
        <v>1932757.4</v>
      </c>
      <c r="F65" s="132">
        <f>(+D65-E65)/E65</f>
        <v>0.30140814879301464</v>
      </c>
      <c r="G65" s="215">
        <f>D65/C65</f>
        <v>0.19942966333869785</v>
      </c>
      <c r="H65" s="123"/>
    </row>
    <row r="66" spans="1:8" ht="15.75" thickBot="1" x14ac:dyDescent="0.25">
      <c r="A66" s="133"/>
      <c r="B66" s="131"/>
      <c r="C66" s="204"/>
      <c r="D66" s="204"/>
      <c r="E66" s="204"/>
      <c r="F66" s="132"/>
      <c r="G66" s="215"/>
      <c r="H66" s="123"/>
    </row>
    <row r="67" spans="1:8" ht="17.25" thickTop="1" thickBot="1" x14ac:dyDescent="0.3">
      <c r="A67" s="141" t="s">
        <v>14</v>
      </c>
      <c r="B67" s="142"/>
      <c r="C67" s="207">
        <f>SUM(C63:C66)</f>
        <v>37085455</v>
      </c>
      <c r="D67" s="207">
        <f>SUM(D63:D66)</f>
        <v>7142441.6300000008</v>
      </c>
      <c r="E67" s="207">
        <f>SUM(E63:E66)</f>
        <v>7270920.9700000007</v>
      </c>
      <c r="F67" s="143">
        <f>(+D67-E67)/E67</f>
        <v>-1.7670297962267611E-2</v>
      </c>
      <c r="G67" s="267">
        <f>D67/C67</f>
        <v>0.19259414856848867</v>
      </c>
      <c r="H67" s="123"/>
    </row>
    <row r="68" spans="1:8" ht="15.75" customHeight="1" thickTop="1" x14ac:dyDescent="0.25">
      <c r="A68" s="138"/>
      <c r="B68" s="139"/>
      <c r="C68" s="205"/>
      <c r="D68" s="205"/>
      <c r="E68" s="205"/>
      <c r="F68" s="140"/>
      <c r="G68" s="219"/>
      <c r="H68" s="123"/>
    </row>
    <row r="69" spans="1:8" ht="15.75" x14ac:dyDescent="0.25">
      <c r="A69" s="130" t="s">
        <v>59</v>
      </c>
      <c r="B69" s="131">
        <f>DATE(2019,7,1)</f>
        <v>43647</v>
      </c>
      <c r="C69" s="204">
        <v>679874</v>
      </c>
      <c r="D69" s="204">
        <v>135934</v>
      </c>
      <c r="E69" s="204">
        <v>154554.5</v>
      </c>
      <c r="F69" s="132">
        <f>(+D69-E69)/E69</f>
        <v>-0.12047853669741095</v>
      </c>
      <c r="G69" s="215">
        <f>D69/C69</f>
        <v>0.19993998888029252</v>
      </c>
      <c r="H69" s="123"/>
    </row>
    <row r="70" spans="1:8" ht="15.75" x14ac:dyDescent="0.25">
      <c r="A70" s="130"/>
      <c r="B70" s="131">
        <f>DATE(2019,8,1)</f>
        <v>43678</v>
      </c>
      <c r="C70" s="204">
        <v>642745</v>
      </c>
      <c r="D70" s="204">
        <v>134255.5</v>
      </c>
      <c r="E70" s="204">
        <v>228200</v>
      </c>
      <c r="F70" s="132">
        <f>(+D70-E70)/E70</f>
        <v>-0.41167616126205081</v>
      </c>
      <c r="G70" s="215">
        <f>D70/C70</f>
        <v>0.20887832655252084</v>
      </c>
      <c r="H70" s="123"/>
    </row>
    <row r="71" spans="1:8" ht="15.75" x14ac:dyDescent="0.25">
      <c r="A71" s="130"/>
      <c r="B71" s="131">
        <f>DATE(2019,9,1)</f>
        <v>43709</v>
      </c>
      <c r="C71" s="204">
        <v>552495</v>
      </c>
      <c r="D71" s="204">
        <v>147952</v>
      </c>
      <c r="E71" s="204">
        <v>133253.5</v>
      </c>
      <c r="F71" s="132">
        <f>(+D71-E71)/E71</f>
        <v>0.11030479499600386</v>
      </c>
      <c r="G71" s="215">
        <f>D71/C71</f>
        <v>0.26778884876786213</v>
      </c>
      <c r="H71" s="123"/>
    </row>
    <row r="72" spans="1:8" ht="15.75" thickBot="1" x14ac:dyDescent="0.25">
      <c r="A72" s="133"/>
      <c r="B72" s="134"/>
      <c r="C72" s="204"/>
      <c r="D72" s="204"/>
      <c r="E72" s="204"/>
      <c r="F72" s="132"/>
      <c r="G72" s="215"/>
      <c r="H72" s="123"/>
    </row>
    <row r="73" spans="1:8" ht="17.25" thickTop="1" thickBot="1" x14ac:dyDescent="0.3">
      <c r="A73" s="144" t="s">
        <v>14</v>
      </c>
      <c r="B73" s="145"/>
      <c r="C73" s="207">
        <f>SUM(C69:C72)</f>
        <v>1875114</v>
      </c>
      <c r="D73" s="207">
        <f>SUM(D69:D72)</f>
        <v>418141.5</v>
      </c>
      <c r="E73" s="207">
        <f>SUM(E69:E72)</f>
        <v>516008</v>
      </c>
      <c r="F73" s="143">
        <f>(+D73-E73)/E73</f>
        <v>-0.18966081921210523</v>
      </c>
      <c r="G73" s="217">
        <f>D73/C73</f>
        <v>0.22299524188929312</v>
      </c>
      <c r="H73" s="123"/>
    </row>
    <row r="74" spans="1:8" ht="15.75" customHeight="1" thickTop="1" x14ac:dyDescent="0.25">
      <c r="A74" s="130"/>
      <c r="B74" s="134"/>
      <c r="C74" s="204"/>
      <c r="D74" s="204"/>
      <c r="E74" s="204"/>
      <c r="F74" s="132"/>
      <c r="G74" s="218"/>
      <c r="H74" s="123"/>
    </row>
    <row r="75" spans="1:8" ht="15.75" x14ac:dyDescent="0.25">
      <c r="A75" s="130" t="s">
        <v>40</v>
      </c>
      <c r="B75" s="131">
        <f>DATE(2019,7,1)</f>
        <v>43647</v>
      </c>
      <c r="C75" s="204">
        <v>18493060</v>
      </c>
      <c r="D75" s="204">
        <v>3679275.65</v>
      </c>
      <c r="E75" s="204">
        <v>4013253.36</v>
      </c>
      <c r="F75" s="132">
        <f>(+D75-E75)/E75</f>
        <v>-8.3218695666899031E-2</v>
      </c>
      <c r="G75" s="215">
        <f>D75/C75</f>
        <v>0.19895439965046346</v>
      </c>
      <c r="H75" s="123"/>
    </row>
    <row r="76" spans="1:8" ht="15.75" x14ac:dyDescent="0.25">
      <c r="A76" s="130"/>
      <c r="B76" s="131">
        <f>DATE(2019,8,1)</f>
        <v>43678</v>
      </c>
      <c r="C76" s="204">
        <v>18036604</v>
      </c>
      <c r="D76" s="204">
        <v>3806818.41</v>
      </c>
      <c r="E76" s="204">
        <v>4154776.6</v>
      </c>
      <c r="F76" s="132">
        <f>(+D76-E76)/E76</f>
        <v>-8.374895295212742E-2</v>
      </c>
      <c r="G76" s="215">
        <f>D76/C76</f>
        <v>0.21106070799137133</v>
      </c>
      <c r="H76" s="123"/>
    </row>
    <row r="77" spans="1:8" ht="15.75" x14ac:dyDescent="0.25">
      <c r="A77" s="130"/>
      <c r="B77" s="131">
        <f>DATE(2019,9,1)</f>
        <v>43709</v>
      </c>
      <c r="C77" s="204">
        <v>19700815</v>
      </c>
      <c r="D77" s="204">
        <v>3987675.53</v>
      </c>
      <c r="E77" s="204">
        <v>3317290.2</v>
      </c>
      <c r="F77" s="132">
        <f>(+D77-E77)/E77</f>
        <v>0.20208823756209196</v>
      </c>
      <c r="G77" s="215">
        <f>D77/C77</f>
        <v>0.20241170377976747</v>
      </c>
      <c r="H77" s="123"/>
    </row>
    <row r="78" spans="1:8" ht="15.75" thickBot="1" x14ac:dyDescent="0.25">
      <c r="A78" s="133"/>
      <c r="B78" s="134"/>
      <c r="C78" s="204"/>
      <c r="D78" s="204"/>
      <c r="E78" s="204"/>
      <c r="F78" s="132"/>
      <c r="G78" s="215"/>
      <c r="H78" s="123"/>
    </row>
    <row r="79" spans="1:8" ht="17.25" thickTop="1" thickBot="1" x14ac:dyDescent="0.3">
      <c r="A79" s="141" t="s">
        <v>14</v>
      </c>
      <c r="B79" s="142"/>
      <c r="C79" s="206">
        <f>SUM(C75:C78)</f>
        <v>56230479</v>
      </c>
      <c r="D79" s="207">
        <f>SUM(D75:D78)</f>
        <v>11473769.59</v>
      </c>
      <c r="E79" s="206">
        <f>SUM(E75:E78)</f>
        <v>11485320.16</v>
      </c>
      <c r="F79" s="143">
        <f>(+D79-E79)/E79</f>
        <v>-1.0056811511643831E-3</v>
      </c>
      <c r="G79" s="217">
        <f>D79/C79</f>
        <v>0.20404893918830036</v>
      </c>
      <c r="H79" s="123"/>
    </row>
    <row r="80" spans="1:8" ht="15.75" customHeight="1" thickTop="1" x14ac:dyDescent="0.25">
      <c r="A80" s="130"/>
      <c r="B80" s="134"/>
      <c r="C80" s="204"/>
      <c r="D80" s="204"/>
      <c r="E80" s="204"/>
      <c r="F80" s="132"/>
      <c r="G80" s="218"/>
      <c r="H80" s="123"/>
    </row>
    <row r="81" spans="1:8" ht="15.75" x14ac:dyDescent="0.25">
      <c r="A81" s="130" t="s">
        <v>64</v>
      </c>
      <c r="B81" s="131">
        <f>DATE(2019,7,1)</f>
        <v>43647</v>
      </c>
      <c r="C81" s="204">
        <v>622244</v>
      </c>
      <c r="D81" s="204">
        <v>102948</v>
      </c>
      <c r="E81" s="204">
        <v>171143.5</v>
      </c>
      <c r="F81" s="132">
        <f>(+D81-E81)/E81</f>
        <v>-0.39846970524735092</v>
      </c>
      <c r="G81" s="215">
        <f>D81/C81</f>
        <v>0.16544635223481463</v>
      </c>
      <c r="H81" s="123"/>
    </row>
    <row r="82" spans="1:8" ht="15.75" x14ac:dyDescent="0.25">
      <c r="A82" s="130"/>
      <c r="B82" s="131">
        <f>DATE(2019,8,1)</f>
        <v>43678</v>
      </c>
      <c r="C82" s="204">
        <v>680355</v>
      </c>
      <c r="D82" s="204">
        <v>208443.5</v>
      </c>
      <c r="E82" s="204">
        <v>217353.5</v>
      </c>
      <c r="F82" s="132">
        <f>(+D82-E82)/E82</f>
        <v>-4.0993128705081816E-2</v>
      </c>
      <c r="G82" s="215">
        <f>D82/C82</f>
        <v>0.30637461325337506</v>
      </c>
      <c r="H82" s="123"/>
    </row>
    <row r="83" spans="1:8" ht="15.75" x14ac:dyDescent="0.25">
      <c r="A83" s="130"/>
      <c r="B83" s="131">
        <f>DATE(2019,9,1)</f>
        <v>43709</v>
      </c>
      <c r="C83" s="204">
        <v>591136</v>
      </c>
      <c r="D83" s="204">
        <v>206651.5</v>
      </c>
      <c r="E83" s="204">
        <v>169120</v>
      </c>
      <c r="F83" s="132">
        <f>(+D83-E83)/E83</f>
        <v>0.22192230368968779</v>
      </c>
      <c r="G83" s="215">
        <f>D83/C83</f>
        <v>0.34958368294267311</v>
      </c>
      <c r="H83" s="123"/>
    </row>
    <row r="84" spans="1:8" ht="15.75" thickBot="1" x14ac:dyDescent="0.25">
      <c r="A84" s="133"/>
      <c r="B84" s="134"/>
      <c r="C84" s="204"/>
      <c r="D84" s="204"/>
      <c r="E84" s="204"/>
      <c r="F84" s="132"/>
      <c r="G84" s="215"/>
      <c r="H84" s="123"/>
    </row>
    <row r="85" spans="1:8" ht="17.25" thickTop="1" thickBot="1" x14ac:dyDescent="0.3">
      <c r="A85" s="135" t="s">
        <v>14</v>
      </c>
      <c r="B85" s="136"/>
      <c r="C85" s="201">
        <f>SUM(C81:C84)</f>
        <v>1893735</v>
      </c>
      <c r="D85" s="207">
        <f>SUM(D81:D84)</f>
        <v>518043</v>
      </c>
      <c r="E85" s="207">
        <f>SUM(E81:E84)</f>
        <v>557617</v>
      </c>
      <c r="F85" s="143">
        <f>(+D85-E85)/E85</f>
        <v>-7.0969859240302927E-2</v>
      </c>
      <c r="G85" s="217">
        <f>D85/C85</f>
        <v>0.27355622618793018</v>
      </c>
      <c r="H85" s="123"/>
    </row>
    <row r="86" spans="1:8" ht="16.5" thickTop="1" thickBot="1" x14ac:dyDescent="0.25">
      <c r="A86" s="146"/>
      <c r="B86" s="139"/>
      <c r="C86" s="205"/>
      <c r="D86" s="205"/>
      <c r="E86" s="205"/>
      <c r="F86" s="140"/>
      <c r="G86" s="216"/>
      <c r="H86" s="123"/>
    </row>
    <row r="87" spans="1:8" ht="17.25" thickTop="1" thickBot="1" x14ac:dyDescent="0.3">
      <c r="A87" s="147" t="s">
        <v>41</v>
      </c>
      <c r="B87" s="121"/>
      <c r="C87" s="201">
        <f>C85+C79+C61+C49+C37+C25+C13+C31+C73+C19+C55+C67+C43</f>
        <v>313927013.75</v>
      </c>
      <c r="D87" s="201">
        <f>D85+D79+D61+D49+D37+D25+D13+D31+D73+D19+D55+D67+D43</f>
        <v>63480791.900000006</v>
      </c>
      <c r="E87" s="201">
        <f>E85+E79+E61+E49+E37+E25+E13+E31+E73+E19+E55+E67+E43</f>
        <v>65081255.899999999</v>
      </c>
      <c r="F87" s="137">
        <f>(+D87-E87)/E87</f>
        <v>-2.4591781118347974E-2</v>
      </c>
      <c r="G87" s="212">
        <f>D87/C87</f>
        <v>0.20221513001284364</v>
      </c>
      <c r="H87" s="123"/>
    </row>
    <row r="88" spans="1:8" ht="17.25" thickTop="1" thickBot="1" x14ac:dyDescent="0.3">
      <c r="A88" s="147"/>
      <c r="B88" s="121"/>
      <c r="C88" s="201"/>
      <c r="D88" s="201"/>
      <c r="E88" s="201"/>
      <c r="F88" s="137"/>
      <c r="G88" s="212"/>
      <c r="H88" s="123"/>
    </row>
    <row r="89" spans="1:8" ht="17.25" thickTop="1" thickBot="1" x14ac:dyDescent="0.3">
      <c r="A89" s="265" t="s">
        <v>42</v>
      </c>
      <c r="B89" s="266"/>
      <c r="C89" s="206">
        <f>SUM(C11+C17+C23+C29+C35+C41+C47+C53+C59+C65+C71+C77+C83)</f>
        <v>102409652</v>
      </c>
      <c r="D89" s="206">
        <f>SUM(D11+D17+D23+D29+D35+D41+D47+D53+D59+D65+D71+D77+D83)</f>
        <v>21057374.180000003</v>
      </c>
      <c r="E89" s="206">
        <f>SUM(E11+E17+E23+E29+E35+E41+E47+E53+E59+E65+E71+E77+E83)</f>
        <v>20776659.489999998</v>
      </c>
      <c r="F89" s="143">
        <f>(+D89-E89)/E89</f>
        <v>1.351105985710146E-2</v>
      </c>
      <c r="G89" s="217">
        <f>D89/C89</f>
        <v>0.20561903852578273</v>
      </c>
      <c r="H89" s="123"/>
    </row>
    <row r="90" spans="1:8" ht="16.5" thickTop="1" x14ac:dyDescent="0.25">
      <c r="A90" s="256"/>
      <c r="B90" s="258"/>
      <c r="C90" s="259"/>
      <c r="D90" s="259"/>
      <c r="E90" s="259"/>
      <c r="F90" s="260"/>
      <c r="G90" s="257"/>
      <c r="H90" s="257"/>
    </row>
    <row r="91" spans="1:8" ht="18.75" x14ac:dyDescent="0.3">
      <c r="A91" s="263" t="s">
        <v>43</v>
      </c>
      <c r="B91" s="117"/>
      <c r="C91" s="208"/>
      <c r="D91" s="208"/>
      <c r="E91" s="208"/>
      <c r="F91" s="148"/>
      <c r="G91" s="220"/>
    </row>
    <row r="92" spans="1:8" ht="15.75" x14ac:dyDescent="0.25">
      <c r="A92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5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94"/>
  <sheetViews>
    <sheetView showOutlineSymbols="0" topLeftCell="A58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44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45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74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70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46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47</v>
      </c>
      <c r="D7" s="223" t="s">
        <v>33</v>
      </c>
      <c r="E7" s="223" t="s">
        <v>3</v>
      </c>
      <c r="F7" s="156"/>
      <c r="G7" s="236" t="s">
        <v>34</v>
      </c>
      <c r="H7" s="253" t="s">
        <v>34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48</v>
      </c>
      <c r="D8" s="224" t="s">
        <v>49</v>
      </c>
      <c r="E8" s="224" t="s">
        <v>49</v>
      </c>
      <c r="F8" s="160" t="s">
        <v>8</v>
      </c>
      <c r="G8" s="238" t="s">
        <v>37</v>
      </c>
      <c r="H8" s="254" t="s">
        <v>50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38</v>
      </c>
      <c r="B10" s="165">
        <f>DATE(19,7,1)</f>
        <v>7122</v>
      </c>
      <c r="C10" s="226">
        <v>121214833.89</v>
      </c>
      <c r="D10" s="226">
        <v>12400602.17</v>
      </c>
      <c r="E10" s="226">
        <v>11548721.09</v>
      </c>
      <c r="F10" s="166">
        <f>(+D10-E10)/E10</f>
        <v>7.3764105424421508E-2</v>
      </c>
      <c r="G10" s="241">
        <f>D10/C10</f>
        <v>0.10230267841024551</v>
      </c>
      <c r="H10" s="242">
        <f>1-G10</f>
        <v>0.89769732158975446</v>
      </c>
      <c r="I10" s="157"/>
    </row>
    <row r="11" spans="1:9" ht="15.75" x14ac:dyDescent="0.25">
      <c r="A11" s="164"/>
      <c r="B11" s="165">
        <f>DATE(19,8,1)</f>
        <v>7153</v>
      </c>
      <c r="C11" s="226">
        <v>127273364.16</v>
      </c>
      <c r="D11" s="226">
        <v>12656746.98</v>
      </c>
      <c r="E11" s="226">
        <v>12278666.34</v>
      </c>
      <c r="F11" s="166">
        <f>(+D11-E11)/E11</f>
        <v>3.0791669838631727E-2</v>
      </c>
      <c r="G11" s="241">
        <f>D11/C11</f>
        <v>9.9445371492567297E-2</v>
      </c>
      <c r="H11" s="242">
        <f>1-G11</f>
        <v>0.90055462850743273</v>
      </c>
      <c r="I11" s="157"/>
    </row>
    <row r="12" spans="1:9" ht="15.75" x14ac:dyDescent="0.25">
      <c r="A12" s="164"/>
      <c r="B12" s="165">
        <f>DATE(19,9,1)</f>
        <v>7184</v>
      </c>
      <c r="C12" s="226">
        <v>113582337.68000001</v>
      </c>
      <c r="D12" s="226">
        <v>11070519.380000001</v>
      </c>
      <c r="E12" s="226">
        <v>11479851.300000001</v>
      </c>
      <c r="F12" s="166">
        <f>(+D12-E12)/E12</f>
        <v>-3.5656552450291749E-2</v>
      </c>
      <c r="G12" s="241">
        <f>D12/C12</f>
        <v>9.7466909082197364E-2</v>
      </c>
      <c r="H12" s="242">
        <f>1-G12</f>
        <v>0.90253309091780265</v>
      </c>
      <c r="I12" s="157"/>
    </row>
    <row r="13" spans="1:9" ht="15.75" thickBot="1" x14ac:dyDescent="0.25">
      <c r="A13" s="167"/>
      <c r="B13" s="168"/>
      <c r="C13" s="226"/>
      <c r="D13" s="226"/>
      <c r="E13" s="226"/>
      <c r="F13" s="166"/>
      <c r="G13" s="241"/>
      <c r="H13" s="242"/>
      <c r="I13" s="157"/>
    </row>
    <row r="14" spans="1:9" ht="17.25" thickTop="1" thickBot="1" x14ac:dyDescent="0.3">
      <c r="A14" s="169" t="s">
        <v>14</v>
      </c>
      <c r="B14" s="155"/>
      <c r="C14" s="223">
        <f>SUM(C10:C13)</f>
        <v>362070535.73000002</v>
      </c>
      <c r="D14" s="223">
        <f>SUM(D10:D13)</f>
        <v>36127868.530000001</v>
      </c>
      <c r="E14" s="223">
        <f>SUM(E10:E13)</f>
        <v>35307238.730000004</v>
      </c>
      <c r="F14" s="170">
        <f>(+D14-E14)/E14</f>
        <v>2.3242536927780784E-2</v>
      </c>
      <c r="G14" s="236">
        <f>D14/C14</f>
        <v>9.9781299401122625E-2</v>
      </c>
      <c r="H14" s="237">
        <f>1-G14</f>
        <v>0.90021870059887732</v>
      </c>
      <c r="I14" s="157"/>
    </row>
    <row r="15" spans="1:9" ht="15.75" thickTop="1" x14ac:dyDescent="0.2">
      <c r="A15" s="171"/>
      <c r="B15" s="172"/>
      <c r="C15" s="227"/>
      <c r="D15" s="227"/>
      <c r="E15" s="227"/>
      <c r="F15" s="173"/>
      <c r="G15" s="243"/>
      <c r="H15" s="244"/>
      <c r="I15" s="157"/>
    </row>
    <row r="16" spans="1:9" ht="15.75" x14ac:dyDescent="0.25">
      <c r="A16" s="19" t="s">
        <v>51</v>
      </c>
      <c r="B16" s="165">
        <f>DATE(19,7,1)</f>
        <v>7122</v>
      </c>
      <c r="C16" s="226">
        <v>61310653.93</v>
      </c>
      <c r="D16" s="226">
        <v>6237791.8300000001</v>
      </c>
      <c r="E16" s="226">
        <v>6830347.7599999998</v>
      </c>
      <c r="F16" s="166">
        <f>(+D16-E16)/E16</f>
        <v>-8.6753405656756738E-2</v>
      </c>
      <c r="G16" s="241">
        <f>D16/C16</f>
        <v>0.10174074863272299</v>
      </c>
      <c r="H16" s="242">
        <f>1-G16</f>
        <v>0.89825925136727702</v>
      </c>
      <c r="I16" s="157"/>
    </row>
    <row r="17" spans="1:9" ht="15.75" x14ac:dyDescent="0.25">
      <c r="A17" s="19"/>
      <c r="B17" s="165">
        <f>DATE(19,8,1)</f>
        <v>7153</v>
      </c>
      <c r="C17" s="226">
        <v>61567378.380000003</v>
      </c>
      <c r="D17" s="226">
        <v>6248302.3499999996</v>
      </c>
      <c r="E17" s="226">
        <v>6442436.2599999998</v>
      </c>
      <c r="F17" s="166">
        <f>(+D17-E17)/E17</f>
        <v>-3.0133617495813635E-2</v>
      </c>
      <c r="G17" s="241">
        <f>D17/C17</f>
        <v>0.10148722447518967</v>
      </c>
      <c r="H17" s="242">
        <f>1-G17</f>
        <v>0.89851277552481035</v>
      </c>
      <c r="I17" s="157"/>
    </row>
    <row r="18" spans="1:9" ht="15.75" x14ac:dyDescent="0.25">
      <c r="A18" s="19"/>
      <c r="B18" s="165">
        <f>DATE(19,9,1)</f>
        <v>7184</v>
      </c>
      <c r="C18" s="226">
        <v>56369402.539999999</v>
      </c>
      <c r="D18" s="226">
        <v>5841517.5999999996</v>
      </c>
      <c r="E18" s="226">
        <v>6263081.7199999997</v>
      </c>
      <c r="F18" s="166">
        <f>(+D18-E18)/E18</f>
        <v>-6.7309375615172418E-2</v>
      </c>
      <c r="G18" s="241">
        <f>D18/C18</f>
        <v>0.10362922679293665</v>
      </c>
      <c r="H18" s="242">
        <f>1-G18</f>
        <v>0.89637077320706338</v>
      </c>
      <c r="I18" s="157"/>
    </row>
    <row r="19" spans="1:9" ht="15.75" thickBot="1" x14ac:dyDescent="0.25">
      <c r="A19" s="167"/>
      <c r="B19" s="165"/>
      <c r="C19" s="226"/>
      <c r="D19" s="226"/>
      <c r="E19" s="226"/>
      <c r="F19" s="166"/>
      <c r="G19" s="241"/>
      <c r="H19" s="242"/>
      <c r="I19" s="157"/>
    </row>
    <row r="20" spans="1:9" ht="17.25" thickTop="1" thickBot="1" x14ac:dyDescent="0.3">
      <c r="A20" s="169" t="s">
        <v>14</v>
      </c>
      <c r="B20" s="155"/>
      <c r="C20" s="223">
        <f>SUM(C16:C19)</f>
        <v>179247434.84999999</v>
      </c>
      <c r="D20" s="223">
        <f>SUM(D16:D19)</f>
        <v>18327611.780000001</v>
      </c>
      <c r="E20" s="223">
        <f>SUM(E16:E19)</f>
        <v>19535865.739999998</v>
      </c>
      <c r="F20" s="170">
        <f>(+D20-E20)/E20</f>
        <v>-6.1847986471675928E-2</v>
      </c>
      <c r="G20" s="236">
        <f>D20/C20</f>
        <v>0.10224755403243084</v>
      </c>
      <c r="H20" s="237">
        <f>1-G20</f>
        <v>0.8977524459675692</v>
      </c>
      <c r="I20" s="157"/>
    </row>
    <row r="21" spans="1:9" ht="15.75" thickTop="1" x14ac:dyDescent="0.2">
      <c r="A21" s="171"/>
      <c r="B21" s="172"/>
      <c r="C21" s="227"/>
      <c r="D21" s="227"/>
      <c r="E21" s="227"/>
      <c r="F21" s="173"/>
      <c r="G21" s="243"/>
      <c r="H21" s="244"/>
      <c r="I21" s="157"/>
    </row>
    <row r="22" spans="1:9" ht="15.75" x14ac:dyDescent="0.25">
      <c r="A22" s="19" t="s">
        <v>60</v>
      </c>
      <c r="B22" s="165">
        <f>DATE(19,7,1)</f>
        <v>7122</v>
      </c>
      <c r="C22" s="226">
        <v>27697147.809999999</v>
      </c>
      <c r="D22" s="226">
        <v>2967073.27</v>
      </c>
      <c r="E22" s="226">
        <v>2891699.85</v>
      </c>
      <c r="F22" s="166">
        <f>(+D22-E22)/E22</f>
        <v>2.6065436909020804E-2</v>
      </c>
      <c r="G22" s="241">
        <f>D22/C22</f>
        <v>0.10712558890012293</v>
      </c>
      <c r="H22" s="242">
        <f>1-G22</f>
        <v>0.89287441109987709</v>
      </c>
      <c r="I22" s="157"/>
    </row>
    <row r="23" spans="1:9" ht="15.75" x14ac:dyDescent="0.25">
      <c r="A23" s="19"/>
      <c r="B23" s="165">
        <f>DATE(19,8,1)</f>
        <v>7153</v>
      </c>
      <c r="C23" s="226">
        <v>27431300.710000001</v>
      </c>
      <c r="D23" s="226">
        <v>2916117.84</v>
      </c>
      <c r="E23" s="226">
        <v>2785511.76</v>
      </c>
      <c r="F23" s="166">
        <f>(+D23-E23)/E23</f>
        <v>4.6887642649909363E-2</v>
      </c>
      <c r="G23" s="241">
        <f>D23/C23</f>
        <v>0.10630621824421682</v>
      </c>
      <c r="H23" s="242">
        <f>1-G23</f>
        <v>0.89369378175578318</v>
      </c>
      <c r="I23" s="157"/>
    </row>
    <row r="24" spans="1:9" ht="15.75" x14ac:dyDescent="0.25">
      <c r="A24" s="19"/>
      <c r="B24" s="165">
        <f>DATE(19,9,1)</f>
        <v>7184</v>
      </c>
      <c r="C24" s="226">
        <v>27153283.5</v>
      </c>
      <c r="D24" s="226">
        <v>2810959.49</v>
      </c>
      <c r="E24" s="226">
        <v>2777720.64</v>
      </c>
      <c r="F24" s="166">
        <f>(+D24-E24)/E24</f>
        <v>1.1966232140608673E-2</v>
      </c>
      <c r="G24" s="241">
        <f>D24/C24</f>
        <v>0.10352189966270563</v>
      </c>
      <c r="H24" s="242">
        <f>1-G24</f>
        <v>0.89647810033729436</v>
      </c>
      <c r="I24" s="157"/>
    </row>
    <row r="25" spans="1:9" ht="15.75" thickBot="1" x14ac:dyDescent="0.25">
      <c r="A25" s="167"/>
      <c r="B25" s="165"/>
      <c r="C25" s="226"/>
      <c r="D25" s="226"/>
      <c r="E25" s="226"/>
      <c r="F25" s="166"/>
      <c r="G25" s="241"/>
      <c r="H25" s="242"/>
      <c r="I25" s="157"/>
    </row>
    <row r="26" spans="1:9" ht="17.25" thickTop="1" thickBot="1" x14ac:dyDescent="0.3">
      <c r="A26" s="174" t="s">
        <v>14</v>
      </c>
      <c r="B26" s="175"/>
      <c r="C26" s="228">
        <f>SUM(C22:C25)</f>
        <v>82281732.019999996</v>
      </c>
      <c r="D26" s="228">
        <f>SUM(D22:D25)</f>
        <v>8694150.5999999996</v>
      </c>
      <c r="E26" s="228">
        <f>SUM(E22:E25)</f>
        <v>8454932.25</v>
      </c>
      <c r="F26" s="176">
        <f>(+D26-E26)/E26</f>
        <v>2.8293349127664461E-2</v>
      </c>
      <c r="G26" s="245">
        <f>D26/C26</f>
        <v>0.10566319384096991</v>
      </c>
      <c r="H26" s="246">
        <f>1-G26</f>
        <v>0.89433680615903011</v>
      </c>
      <c r="I26" s="157"/>
    </row>
    <row r="27" spans="1:9" ht="15.75" thickTop="1" x14ac:dyDescent="0.2">
      <c r="A27" s="167"/>
      <c r="B27" s="168"/>
      <c r="C27" s="226"/>
      <c r="D27" s="226"/>
      <c r="E27" s="226"/>
      <c r="F27" s="166"/>
      <c r="G27" s="241"/>
      <c r="H27" s="242"/>
      <c r="I27" s="157"/>
    </row>
    <row r="28" spans="1:9" ht="15.75" x14ac:dyDescent="0.25">
      <c r="A28" s="177" t="s">
        <v>65</v>
      </c>
      <c r="B28" s="165">
        <f>DATE(19,7,1)</f>
        <v>7122</v>
      </c>
      <c r="C28" s="226">
        <v>184825387.59999999</v>
      </c>
      <c r="D28" s="226">
        <v>17279710.350000001</v>
      </c>
      <c r="E28" s="226">
        <v>17539246.18</v>
      </c>
      <c r="F28" s="166">
        <f>(+D28-E28)/E28</f>
        <v>-1.4797433557660356E-2</v>
      </c>
      <c r="G28" s="241">
        <f>D28/C28</f>
        <v>9.3492082307419996E-2</v>
      </c>
      <c r="H28" s="242">
        <f>1-G28</f>
        <v>0.90650791769257999</v>
      </c>
      <c r="I28" s="157"/>
    </row>
    <row r="29" spans="1:9" ht="15.75" x14ac:dyDescent="0.25">
      <c r="A29" s="177"/>
      <c r="B29" s="165">
        <f>DATE(19,8,1)</f>
        <v>7153</v>
      </c>
      <c r="C29" s="226">
        <v>191102191.72</v>
      </c>
      <c r="D29" s="226">
        <v>17467037.460000001</v>
      </c>
      <c r="E29" s="226">
        <v>17390823.879999999</v>
      </c>
      <c r="F29" s="166">
        <f>(+D29-E29)/E29</f>
        <v>4.3824019221797754E-3</v>
      </c>
      <c r="G29" s="241">
        <f>D29/C29</f>
        <v>9.1401554858106679E-2</v>
      </c>
      <c r="H29" s="242">
        <f>1-G29</f>
        <v>0.90859844514189336</v>
      </c>
      <c r="I29" s="157"/>
    </row>
    <row r="30" spans="1:9" ht="15.75" x14ac:dyDescent="0.25">
      <c r="A30" s="177"/>
      <c r="B30" s="165">
        <f>DATE(19,9,1)</f>
        <v>7184</v>
      </c>
      <c r="C30" s="226">
        <v>174203675.16999999</v>
      </c>
      <c r="D30" s="226">
        <v>16156127.949999999</v>
      </c>
      <c r="E30" s="226">
        <v>16350217.75</v>
      </c>
      <c r="F30" s="166">
        <f>(+D30-E30)/E30</f>
        <v>-1.1870777684291131E-2</v>
      </c>
      <c r="G30" s="241">
        <f>D30/C30</f>
        <v>9.2742750313583991E-2</v>
      </c>
      <c r="H30" s="242">
        <f>1-G30</f>
        <v>0.90725724968641597</v>
      </c>
      <c r="I30" s="157"/>
    </row>
    <row r="31" spans="1:9" ht="15.75" thickBot="1" x14ac:dyDescent="0.25">
      <c r="A31" s="167"/>
      <c r="B31" s="168"/>
      <c r="C31" s="226"/>
      <c r="D31" s="226"/>
      <c r="E31" s="226"/>
      <c r="F31" s="166"/>
      <c r="G31" s="241"/>
      <c r="H31" s="242"/>
      <c r="I31" s="157"/>
    </row>
    <row r="32" spans="1:9" ht="17.25" thickTop="1" thickBot="1" x14ac:dyDescent="0.3">
      <c r="A32" s="174" t="s">
        <v>14</v>
      </c>
      <c r="B32" s="178"/>
      <c r="C32" s="228">
        <f>SUM(C28:C31)</f>
        <v>550131254.49000001</v>
      </c>
      <c r="D32" s="228">
        <f>SUM(D28:D31)</f>
        <v>50902875.760000005</v>
      </c>
      <c r="E32" s="228">
        <f>SUM(E28:E31)</f>
        <v>51280287.810000002</v>
      </c>
      <c r="F32" s="176">
        <f>(+D32-E32)/E32</f>
        <v>-7.3597880612206535E-3</v>
      </c>
      <c r="G32" s="245">
        <f>D32/C32</f>
        <v>9.2528601755574841E-2</v>
      </c>
      <c r="H32" s="246">
        <f>1-G32</f>
        <v>0.90747139824442513</v>
      </c>
      <c r="I32" s="157"/>
    </row>
    <row r="33" spans="1:9" ht="15.75" thickTop="1" x14ac:dyDescent="0.2">
      <c r="A33" s="167"/>
      <c r="B33" s="168"/>
      <c r="C33" s="226"/>
      <c r="D33" s="226"/>
      <c r="E33" s="226"/>
      <c r="F33" s="166"/>
      <c r="G33" s="241"/>
      <c r="H33" s="242"/>
      <c r="I33" s="157"/>
    </row>
    <row r="34" spans="1:9" ht="15.75" x14ac:dyDescent="0.25">
      <c r="A34" s="164" t="s">
        <v>16</v>
      </c>
      <c r="B34" s="165">
        <f>DATE(19,7,1)</f>
        <v>7122</v>
      </c>
      <c r="C34" s="226">
        <v>115325495.95</v>
      </c>
      <c r="D34" s="226">
        <v>11411946.24</v>
      </c>
      <c r="E34" s="226">
        <v>11381105.73</v>
      </c>
      <c r="F34" s="166">
        <f>(+D34-E34)/E34</f>
        <v>2.7097990943626684E-3</v>
      </c>
      <c r="G34" s="241">
        <f>D34/C34</f>
        <v>9.8954235106413171E-2</v>
      </c>
      <c r="H34" s="242">
        <f>1-G34</f>
        <v>0.90104576489358679</v>
      </c>
      <c r="I34" s="157"/>
    </row>
    <row r="35" spans="1:9" ht="15.75" x14ac:dyDescent="0.25">
      <c r="A35" s="164"/>
      <c r="B35" s="165">
        <f>DATE(19,8,1)</f>
        <v>7153</v>
      </c>
      <c r="C35" s="226">
        <v>122607190.3</v>
      </c>
      <c r="D35" s="226">
        <v>12220877.76</v>
      </c>
      <c r="E35" s="226">
        <v>11018606.25</v>
      </c>
      <c r="F35" s="166">
        <f>(+D35-E35)/E35</f>
        <v>0.10911284809728089</v>
      </c>
      <c r="G35" s="241">
        <f>D35/C35</f>
        <v>9.967504948198784E-2</v>
      </c>
      <c r="H35" s="242">
        <f>1-G35</f>
        <v>0.9003249505180122</v>
      </c>
      <c r="I35" s="157"/>
    </row>
    <row r="36" spans="1:9" ht="15.75" x14ac:dyDescent="0.25">
      <c r="A36" s="164"/>
      <c r="B36" s="165">
        <f>DATE(19,9,1)</f>
        <v>7184</v>
      </c>
      <c r="C36" s="226">
        <v>115423599.31</v>
      </c>
      <c r="D36" s="226">
        <v>11441576.98</v>
      </c>
      <c r="E36" s="226">
        <v>11865007.26</v>
      </c>
      <c r="F36" s="166">
        <f>(+D36-E36)/E36</f>
        <v>-3.5687317396550781E-2</v>
      </c>
      <c r="G36" s="241">
        <f>D36/C36</f>
        <v>9.9126842763503489E-2</v>
      </c>
      <c r="H36" s="242">
        <f>1-G36</f>
        <v>0.90087315723649652</v>
      </c>
      <c r="I36" s="157"/>
    </row>
    <row r="37" spans="1:9" ht="15.75" thickBot="1" x14ac:dyDescent="0.25">
      <c r="A37" s="167"/>
      <c r="B37" s="165"/>
      <c r="C37" s="226"/>
      <c r="D37" s="226"/>
      <c r="E37" s="226"/>
      <c r="F37" s="166"/>
      <c r="G37" s="241"/>
      <c r="H37" s="242"/>
      <c r="I37" s="157"/>
    </row>
    <row r="38" spans="1:9" ht="17.25" thickTop="1" thickBot="1" x14ac:dyDescent="0.3">
      <c r="A38" s="174" t="s">
        <v>14</v>
      </c>
      <c r="B38" s="175"/>
      <c r="C38" s="228">
        <f>SUM(C34:C37)</f>
        <v>353356285.56</v>
      </c>
      <c r="D38" s="230">
        <f>SUM(D34:D37)</f>
        <v>35074400.980000004</v>
      </c>
      <c r="E38" s="271">
        <f>SUM(E34:E37)</f>
        <v>34264719.240000002</v>
      </c>
      <c r="F38" s="272">
        <f>(+D38-E38)/E38</f>
        <v>2.3630187491943448E-2</v>
      </c>
      <c r="G38" s="249">
        <f>D38/C38</f>
        <v>9.926072469438034E-2</v>
      </c>
      <c r="H38" s="270">
        <f>1-G38</f>
        <v>0.9007392753056197</v>
      </c>
      <c r="I38" s="157"/>
    </row>
    <row r="39" spans="1:9" ht="15.75" thickTop="1" x14ac:dyDescent="0.2">
      <c r="A39" s="167"/>
      <c r="B39" s="168"/>
      <c r="C39" s="226"/>
      <c r="D39" s="226"/>
      <c r="E39" s="226"/>
      <c r="F39" s="166"/>
      <c r="G39" s="241"/>
      <c r="H39" s="242"/>
      <c r="I39" s="157"/>
    </row>
    <row r="40" spans="1:9" ht="15.75" x14ac:dyDescent="0.25">
      <c r="A40" s="164" t="s">
        <v>66</v>
      </c>
      <c r="B40" s="165">
        <f>DATE(19,7,1)</f>
        <v>7122</v>
      </c>
      <c r="C40" s="226">
        <v>39783172.600000001</v>
      </c>
      <c r="D40" s="226">
        <v>3906046.69</v>
      </c>
      <c r="E40" s="226">
        <v>4536017.05</v>
      </c>
      <c r="F40" s="166">
        <f>(+D40-E40)/E40</f>
        <v>-0.13888183246577521</v>
      </c>
      <c r="G40" s="241">
        <f>D40/C40</f>
        <v>9.8183388471134642E-2</v>
      </c>
      <c r="H40" s="242">
        <f>1-G40</f>
        <v>0.90181661152886539</v>
      </c>
      <c r="I40" s="157"/>
    </row>
    <row r="41" spans="1:9" ht="15.75" x14ac:dyDescent="0.25">
      <c r="A41" s="164"/>
      <c r="B41" s="165">
        <f>DATE(19,8,1)</f>
        <v>7153</v>
      </c>
      <c r="C41" s="226">
        <v>43743175.450000003</v>
      </c>
      <c r="D41" s="226">
        <v>4670857.45</v>
      </c>
      <c r="E41" s="226">
        <v>4611969.17</v>
      </c>
      <c r="F41" s="166">
        <f>(+D41-E41)/E41</f>
        <v>1.2768576247876405E-2</v>
      </c>
      <c r="G41" s="241">
        <f>D41/C41</f>
        <v>0.1067791124432417</v>
      </c>
      <c r="H41" s="242">
        <f>1-G41</f>
        <v>0.89322088755675833</v>
      </c>
      <c r="I41" s="157"/>
    </row>
    <row r="42" spans="1:9" ht="15.75" x14ac:dyDescent="0.25">
      <c r="A42" s="164"/>
      <c r="B42" s="165">
        <f>DATE(19,9,1)</f>
        <v>7184</v>
      </c>
      <c r="C42" s="226">
        <v>42075238.060000002</v>
      </c>
      <c r="D42" s="226">
        <v>4421418.32</v>
      </c>
      <c r="E42" s="226">
        <v>4472303.22</v>
      </c>
      <c r="F42" s="166">
        <f>(+D42-E42)/E42</f>
        <v>-1.1377783995602929E-2</v>
      </c>
      <c r="G42" s="241">
        <f>D42/C42</f>
        <v>0.10508361981683818</v>
      </c>
      <c r="H42" s="242">
        <f>1-G42</f>
        <v>0.89491638018316177</v>
      </c>
      <c r="I42" s="157"/>
    </row>
    <row r="43" spans="1:9" ht="15.75" thickBot="1" x14ac:dyDescent="0.25">
      <c r="A43" s="167"/>
      <c r="B43" s="165"/>
      <c r="C43" s="226"/>
      <c r="D43" s="226"/>
      <c r="E43" s="226"/>
      <c r="F43" s="166"/>
      <c r="G43" s="241"/>
      <c r="H43" s="242"/>
      <c r="I43" s="157"/>
    </row>
    <row r="44" spans="1:9" ht="17.25" thickTop="1" thickBot="1" x14ac:dyDescent="0.3">
      <c r="A44" s="174" t="s">
        <v>14</v>
      </c>
      <c r="B44" s="175"/>
      <c r="C44" s="228">
        <f>SUM(C40:C43)</f>
        <v>125601586.11000001</v>
      </c>
      <c r="D44" s="230">
        <f>SUM(D40:D43)</f>
        <v>12998322.460000001</v>
      </c>
      <c r="E44" s="271">
        <f>SUM(E40:E43)</f>
        <v>13620289.439999998</v>
      </c>
      <c r="F44" s="272">
        <f>(+D44-E44)/E44</f>
        <v>-4.5664740293507068E-2</v>
      </c>
      <c r="G44" s="249">
        <f>D44/C44</f>
        <v>0.10348852162277841</v>
      </c>
      <c r="H44" s="270">
        <f>1-G44</f>
        <v>0.89651147837722156</v>
      </c>
      <c r="I44" s="157"/>
    </row>
    <row r="45" spans="1:9" ht="15.75" thickTop="1" x14ac:dyDescent="0.2">
      <c r="A45" s="167"/>
      <c r="B45" s="168"/>
      <c r="C45" s="226"/>
      <c r="D45" s="226"/>
      <c r="E45" s="226"/>
      <c r="F45" s="166"/>
      <c r="G45" s="241"/>
      <c r="H45" s="242"/>
      <c r="I45" s="157"/>
    </row>
    <row r="46" spans="1:9" ht="15.75" x14ac:dyDescent="0.25">
      <c r="A46" s="164" t="s">
        <v>17</v>
      </c>
      <c r="B46" s="165">
        <f>DATE(19,7,1)</f>
        <v>7122</v>
      </c>
      <c r="C46" s="226">
        <v>45458425.399999999</v>
      </c>
      <c r="D46" s="226">
        <v>4987956.2</v>
      </c>
      <c r="E46" s="226">
        <v>5381167.3099999996</v>
      </c>
      <c r="F46" s="166">
        <f>(+D46-E46)/E46</f>
        <v>-7.3071712390224752E-2</v>
      </c>
      <c r="G46" s="241">
        <f>D46/C46</f>
        <v>0.10972567034844986</v>
      </c>
      <c r="H46" s="242">
        <f>1-G46</f>
        <v>0.89027432965155018</v>
      </c>
      <c r="I46" s="157"/>
    </row>
    <row r="47" spans="1:9" ht="15.75" x14ac:dyDescent="0.25">
      <c r="A47" s="164"/>
      <c r="B47" s="165">
        <f>DATE(19,8,1)</f>
        <v>7153</v>
      </c>
      <c r="C47" s="226">
        <v>47408888.340000004</v>
      </c>
      <c r="D47" s="226">
        <v>5297182</v>
      </c>
      <c r="E47" s="226">
        <v>5291596.82</v>
      </c>
      <c r="F47" s="166">
        <f>(+D47-E47)/E47</f>
        <v>1.0554810182986886E-3</v>
      </c>
      <c r="G47" s="241">
        <f>D47/C47</f>
        <v>0.1117339424204689</v>
      </c>
      <c r="H47" s="242">
        <f>1-G47</f>
        <v>0.88826605757953114</v>
      </c>
      <c r="I47" s="157"/>
    </row>
    <row r="48" spans="1:9" ht="15.75" x14ac:dyDescent="0.25">
      <c r="A48" s="164"/>
      <c r="B48" s="165">
        <f>DATE(19,9,1)</f>
        <v>7184</v>
      </c>
      <c r="C48" s="226">
        <v>43078381.07</v>
      </c>
      <c r="D48" s="226">
        <v>4757922.75</v>
      </c>
      <c r="E48" s="226">
        <v>5027629.3</v>
      </c>
      <c r="F48" s="166">
        <f>(+D48-E48)/E48</f>
        <v>-5.3644875925915984E-2</v>
      </c>
      <c r="G48" s="241">
        <f>D48/C48</f>
        <v>0.11044803987105822</v>
      </c>
      <c r="H48" s="242">
        <f>1-G48</f>
        <v>0.88955196012894178</v>
      </c>
      <c r="I48" s="157"/>
    </row>
    <row r="49" spans="1:9" ht="15.75" thickBot="1" x14ac:dyDescent="0.25">
      <c r="A49" s="167"/>
      <c r="B49" s="165"/>
      <c r="C49" s="226"/>
      <c r="D49" s="226"/>
      <c r="E49" s="226"/>
      <c r="F49" s="166"/>
      <c r="G49" s="241"/>
      <c r="H49" s="242"/>
      <c r="I49" s="157"/>
    </row>
    <row r="50" spans="1:9" ht="17.25" thickTop="1" thickBot="1" x14ac:dyDescent="0.3">
      <c r="A50" s="174" t="s">
        <v>14</v>
      </c>
      <c r="B50" s="175"/>
      <c r="C50" s="228">
        <f>SUM(C46:C49)</f>
        <v>135945694.81</v>
      </c>
      <c r="D50" s="230">
        <f>SUM(D46:D49)</f>
        <v>15043060.949999999</v>
      </c>
      <c r="E50" s="271">
        <f>SUM(E46:E49)</f>
        <v>15700393.43</v>
      </c>
      <c r="F50" s="272">
        <f>(+D50-E50)/E50</f>
        <v>-4.1867261666448601E-2</v>
      </c>
      <c r="G50" s="249">
        <f>D50/C50</f>
        <v>0.11065492710912571</v>
      </c>
      <c r="H50" s="270">
        <f>1-G50</f>
        <v>0.88934507289087428</v>
      </c>
      <c r="I50" s="157"/>
    </row>
    <row r="51" spans="1:9" ht="15.75" thickTop="1" x14ac:dyDescent="0.2">
      <c r="A51" s="167"/>
      <c r="B51" s="168"/>
      <c r="C51" s="226"/>
      <c r="D51" s="226"/>
      <c r="E51" s="226"/>
      <c r="F51" s="166"/>
      <c r="G51" s="241"/>
      <c r="H51" s="242"/>
      <c r="I51" s="157"/>
    </row>
    <row r="52" spans="1:9" ht="15.75" x14ac:dyDescent="0.25">
      <c r="A52" s="164" t="s">
        <v>67</v>
      </c>
      <c r="B52" s="165">
        <f>DATE(19,7,1)</f>
        <v>7122</v>
      </c>
      <c r="C52" s="226">
        <v>108871593.48999999</v>
      </c>
      <c r="D52" s="226">
        <v>10859844.9</v>
      </c>
      <c r="E52" s="226">
        <v>11368416.640000001</v>
      </c>
      <c r="F52" s="166">
        <f>(+D52-E52)/E52</f>
        <v>-4.4735494493628992E-2</v>
      </c>
      <c r="G52" s="241">
        <f>D52/C52</f>
        <v>9.9749113169703835E-2</v>
      </c>
      <c r="H52" s="242">
        <f>1-G52</f>
        <v>0.90025088683029619</v>
      </c>
      <c r="I52" s="157"/>
    </row>
    <row r="53" spans="1:9" ht="15.75" x14ac:dyDescent="0.25">
      <c r="A53" s="164"/>
      <c r="B53" s="165">
        <f>DATE(19,8,1)</f>
        <v>7153</v>
      </c>
      <c r="C53" s="226">
        <v>110085881.98999999</v>
      </c>
      <c r="D53" s="226">
        <v>10606265.73</v>
      </c>
      <c r="E53" s="226">
        <v>11900739.720000001</v>
      </c>
      <c r="F53" s="166">
        <f>(+D53-E53)/E53</f>
        <v>-0.10877256544183962</v>
      </c>
      <c r="G53" s="241">
        <f>D53/C53</f>
        <v>9.6345376339569633E-2</v>
      </c>
      <c r="H53" s="242">
        <f>1-G53</f>
        <v>0.90365462366043037</v>
      </c>
      <c r="I53" s="157"/>
    </row>
    <row r="54" spans="1:9" ht="15.75" x14ac:dyDescent="0.25">
      <c r="A54" s="164"/>
      <c r="B54" s="165">
        <f>DATE(19,9,1)</f>
        <v>7184</v>
      </c>
      <c r="C54" s="226">
        <v>102382579.39</v>
      </c>
      <c r="D54" s="226">
        <v>10294221.539999999</v>
      </c>
      <c r="E54" s="226">
        <v>10737435.65</v>
      </c>
      <c r="F54" s="166">
        <f>(+D54-E54)/E54</f>
        <v>-4.1277463674485558E-2</v>
      </c>
      <c r="G54" s="241">
        <f>D54/C54</f>
        <v>0.10054661253245847</v>
      </c>
      <c r="H54" s="242">
        <f>1-G54</f>
        <v>0.89945338746754155</v>
      </c>
      <c r="I54" s="157"/>
    </row>
    <row r="55" spans="1:9" ht="15.75" thickBot="1" x14ac:dyDescent="0.25">
      <c r="A55" s="167"/>
      <c r="B55" s="165"/>
      <c r="C55" s="226"/>
      <c r="D55" s="226"/>
      <c r="E55" s="226"/>
      <c r="F55" s="166"/>
      <c r="G55" s="241"/>
      <c r="H55" s="242"/>
      <c r="I55" s="157"/>
    </row>
    <row r="56" spans="1:9" ht="17.25" thickTop="1" thickBot="1" x14ac:dyDescent="0.3">
      <c r="A56" s="174" t="s">
        <v>14</v>
      </c>
      <c r="B56" s="175"/>
      <c r="C56" s="228">
        <f>SUM(C52:C55)</f>
        <v>321340054.87</v>
      </c>
      <c r="D56" s="230">
        <f>SUM(D52:D55)</f>
        <v>31760332.170000002</v>
      </c>
      <c r="E56" s="271">
        <f>SUM(E52:E55)</f>
        <v>34006592.009999998</v>
      </c>
      <c r="F56" s="176">
        <f>(+D56-E56)/E56</f>
        <v>-6.6053659224054553E-2</v>
      </c>
      <c r="G56" s="249">
        <f>D56/C56</f>
        <v>9.8837140557683764E-2</v>
      </c>
      <c r="H56" s="270">
        <f>1-G56</f>
        <v>0.90116285944231622</v>
      </c>
      <c r="I56" s="157"/>
    </row>
    <row r="57" spans="1:9" ht="15.75" thickTop="1" x14ac:dyDescent="0.2">
      <c r="A57" s="167"/>
      <c r="B57" s="179"/>
      <c r="C57" s="229"/>
      <c r="D57" s="229"/>
      <c r="E57" s="229"/>
      <c r="F57" s="180"/>
      <c r="G57" s="247"/>
      <c r="H57" s="248"/>
      <c r="I57" s="157"/>
    </row>
    <row r="58" spans="1:9" ht="15.75" x14ac:dyDescent="0.25">
      <c r="A58" s="164" t="s">
        <v>18</v>
      </c>
      <c r="B58" s="165">
        <f>DATE(19,7,1)</f>
        <v>7122</v>
      </c>
      <c r="C58" s="226">
        <v>139620069.69</v>
      </c>
      <c r="D58" s="226">
        <v>13562944.529999999</v>
      </c>
      <c r="E58" s="226">
        <v>14899456.869999999</v>
      </c>
      <c r="F58" s="166">
        <f>(+D58-E58)/E58</f>
        <v>-8.9702084556589609E-2</v>
      </c>
      <c r="G58" s="241">
        <f>D58/C58</f>
        <v>9.7141797451569506E-2</v>
      </c>
      <c r="H58" s="242">
        <f>1-G58</f>
        <v>0.90285820254843052</v>
      </c>
      <c r="I58" s="157"/>
    </row>
    <row r="59" spans="1:9" ht="15.75" x14ac:dyDescent="0.25">
      <c r="A59" s="164"/>
      <c r="B59" s="165">
        <f>DATE(19,8,1)</f>
        <v>7153</v>
      </c>
      <c r="C59" s="226">
        <v>145301923.24000001</v>
      </c>
      <c r="D59" s="226">
        <v>13870661.279999999</v>
      </c>
      <c r="E59" s="226">
        <v>14829432.529999999</v>
      </c>
      <c r="F59" s="166">
        <f>(+D59-E59)/E59</f>
        <v>-6.465326627033112E-2</v>
      </c>
      <c r="G59" s="241">
        <f>D59/C59</f>
        <v>9.5460961360362501E-2</v>
      </c>
      <c r="H59" s="242">
        <f>1-G59</f>
        <v>0.90453903863963747</v>
      </c>
      <c r="I59" s="157"/>
    </row>
    <row r="60" spans="1:9" ht="15.75" x14ac:dyDescent="0.25">
      <c r="A60" s="164"/>
      <c r="B60" s="165">
        <f>DATE(19,9,1)</f>
        <v>7184</v>
      </c>
      <c r="C60" s="226">
        <v>133117656.17</v>
      </c>
      <c r="D60" s="226">
        <v>12786448.43</v>
      </c>
      <c r="E60" s="226">
        <v>13962276.199999999</v>
      </c>
      <c r="F60" s="166">
        <f>(+D60-E60)/E60</f>
        <v>-8.4214618960195012E-2</v>
      </c>
      <c r="G60" s="241">
        <f>D60/C60</f>
        <v>9.6053737707572501E-2</v>
      </c>
      <c r="H60" s="242">
        <f>1-G60</f>
        <v>0.90394626229242747</v>
      </c>
      <c r="I60" s="157"/>
    </row>
    <row r="61" spans="1:9" ht="15.75" customHeight="1" thickBot="1" x14ac:dyDescent="0.3">
      <c r="A61" s="164"/>
      <c r="B61" s="165"/>
      <c r="C61" s="226"/>
      <c r="D61" s="226"/>
      <c r="E61" s="226"/>
      <c r="F61" s="166"/>
      <c r="G61" s="241"/>
      <c r="H61" s="242"/>
      <c r="I61" s="157"/>
    </row>
    <row r="62" spans="1:9" ht="17.25" thickTop="1" thickBot="1" x14ac:dyDescent="0.3">
      <c r="A62" s="174" t="s">
        <v>14</v>
      </c>
      <c r="B62" s="181"/>
      <c r="C62" s="228">
        <f>SUM(C58:C61)</f>
        <v>418039649.10000002</v>
      </c>
      <c r="D62" s="228">
        <f>SUM(D58:D61)</f>
        <v>40220054.239999995</v>
      </c>
      <c r="E62" s="228">
        <f>SUM(E58:E61)</f>
        <v>43691165.599999994</v>
      </c>
      <c r="F62" s="176">
        <f>(+D62-E62)/E62</f>
        <v>-7.9446526828297753E-2</v>
      </c>
      <c r="G62" s="245">
        <f>D62/C62</f>
        <v>9.621109941745952E-2</v>
      </c>
      <c r="H62" s="246">
        <f>1-G62</f>
        <v>0.90378890058254047</v>
      </c>
      <c r="I62" s="157"/>
    </row>
    <row r="63" spans="1:9" ht="15.75" thickTop="1" x14ac:dyDescent="0.2">
      <c r="A63" s="171"/>
      <c r="B63" s="172"/>
      <c r="C63" s="227"/>
      <c r="D63" s="227"/>
      <c r="E63" s="227"/>
      <c r="F63" s="173"/>
      <c r="G63" s="243"/>
      <c r="H63" s="244"/>
      <c r="I63" s="157"/>
    </row>
    <row r="64" spans="1:9" ht="15.75" x14ac:dyDescent="0.25">
      <c r="A64" s="164" t="s">
        <v>58</v>
      </c>
      <c r="B64" s="165">
        <f>DATE(19,7,1)</f>
        <v>7122</v>
      </c>
      <c r="C64" s="226">
        <v>172895652.09999999</v>
      </c>
      <c r="D64" s="226">
        <v>16249508.9</v>
      </c>
      <c r="E64" s="226">
        <v>16699225.800000001</v>
      </c>
      <c r="F64" s="166">
        <f>(+D64-E64)/E64</f>
        <v>-2.6930404162808574E-2</v>
      </c>
      <c r="G64" s="241">
        <f>D64/C64</f>
        <v>9.3984485454854313E-2</v>
      </c>
      <c r="H64" s="242">
        <f>1-G64</f>
        <v>0.90601551454514573</v>
      </c>
      <c r="I64" s="157"/>
    </row>
    <row r="65" spans="1:9" ht="15.75" x14ac:dyDescent="0.25">
      <c r="A65" s="164"/>
      <c r="B65" s="165">
        <f>DATE(19,8,1)</f>
        <v>7153</v>
      </c>
      <c r="C65" s="226">
        <v>180380059.75</v>
      </c>
      <c r="D65" s="226">
        <v>16871517.800000001</v>
      </c>
      <c r="E65" s="226">
        <v>16622760.619999999</v>
      </c>
      <c r="F65" s="166">
        <f>(+D65-E65)/E65</f>
        <v>1.4964853653773038E-2</v>
      </c>
      <c r="G65" s="241">
        <f>D65/C65</f>
        <v>9.3533164493809856E-2</v>
      </c>
      <c r="H65" s="242">
        <f>1-G65</f>
        <v>0.90646683550619012</v>
      </c>
      <c r="I65" s="157"/>
    </row>
    <row r="66" spans="1:9" ht="15.75" x14ac:dyDescent="0.25">
      <c r="A66" s="164"/>
      <c r="B66" s="165">
        <f>DATE(19,9,1)</f>
        <v>7184</v>
      </c>
      <c r="C66" s="226">
        <v>169452200.19999999</v>
      </c>
      <c r="D66" s="226">
        <v>15944541.300000001</v>
      </c>
      <c r="E66" s="226">
        <v>16260476.050000001</v>
      </c>
      <c r="F66" s="166">
        <f>(+D66-E66)/E66</f>
        <v>-1.9429612578901096E-2</v>
      </c>
      <c r="G66" s="241">
        <f>D66/C66</f>
        <v>9.4094625393952261E-2</v>
      </c>
      <c r="H66" s="242">
        <f>1-G66</f>
        <v>0.9059053746060477</v>
      </c>
      <c r="I66" s="157"/>
    </row>
    <row r="67" spans="1:9" ht="15.75" thickBot="1" x14ac:dyDescent="0.25">
      <c r="A67" s="167"/>
      <c r="B67" s="168"/>
      <c r="C67" s="226"/>
      <c r="D67" s="226"/>
      <c r="E67" s="226"/>
      <c r="F67" s="166"/>
      <c r="G67" s="241"/>
      <c r="H67" s="242"/>
      <c r="I67" s="157"/>
    </row>
    <row r="68" spans="1:9" ht="17.25" thickTop="1" thickBot="1" x14ac:dyDescent="0.3">
      <c r="A68" s="174" t="s">
        <v>14</v>
      </c>
      <c r="B68" s="175"/>
      <c r="C68" s="228">
        <f>SUM(C64:C67)</f>
        <v>522727912.05000001</v>
      </c>
      <c r="D68" s="228">
        <f>SUM(D64:D67)</f>
        <v>49065568</v>
      </c>
      <c r="E68" s="228">
        <f>SUM(E64:E67)</f>
        <v>49582462.469999999</v>
      </c>
      <c r="F68" s="176">
        <f>(+D68-E68)/E68</f>
        <v>-1.0424945520056557E-2</v>
      </c>
      <c r="G68" s="249">
        <f>D68/C68</f>
        <v>9.3864450068445501E-2</v>
      </c>
      <c r="H68" s="270">
        <f>1-G68</f>
        <v>0.90613554993155454</v>
      </c>
      <c r="I68" s="157"/>
    </row>
    <row r="69" spans="1:9" ht="15.75" thickTop="1" x14ac:dyDescent="0.2">
      <c r="A69" s="167"/>
      <c r="B69" s="168"/>
      <c r="C69" s="226"/>
      <c r="D69" s="226"/>
      <c r="E69" s="226"/>
      <c r="F69" s="166"/>
      <c r="G69" s="241"/>
      <c r="H69" s="242"/>
      <c r="I69" s="157"/>
    </row>
    <row r="70" spans="1:9" ht="15.75" x14ac:dyDescent="0.25">
      <c r="A70" s="164" t="s">
        <v>59</v>
      </c>
      <c r="B70" s="165">
        <f>DATE(19,7,1)</f>
        <v>7122</v>
      </c>
      <c r="C70" s="226">
        <v>23534671.399999999</v>
      </c>
      <c r="D70" s="226">
        <v>2612988.94</v>
      </c>
      <c r="E70" s="226">
        <v>2665233.29</v>
      </c>
      <c r="F70" s="166">
        <f>(+D70-E70)/E70</f>
        <v>-1.9602167733692121E-2</v>
      </c>
      <c r="G70" s="241">
        <f>D70/C70</f>
        <v>0.11102721153778251</v>
      </c>
      <c r="H70" s="242">
        <f>1-G70</f>
        <v>0.8889727884622175</v>
      </c>
      <c r="I70" s="157"/>
    </row>
    <row r="71" spans="1:9" ht="15.75" x14ac:dyDescent="0.25">
      <c r="A71" s="164"/>
      <c r="B71" s="165">
        <f>DATE(19,8,1)</f>
        <v>7153</v>
      </c>
      <c r="C71" s="226">
        <v>25945368.859999999</v>
      </c>
      <c r="D71" s="226">
        <v>2826240.12</v>
      </c>
      <c r="E71" s="226">
        <v>2551392.61</v>
      </c>
      <c r="F71" s="166">
        <f>(+D71-E71)/E71</f>
        <v>0.10772450657838985</v>
      </c>
      <c r="G71" s="241">
        <f>D71/C71</f>
        <v>0.10893042743968143</v>
      </c>
      <c r="H71" s="242">
        <f>1-G71</f>
        <v>0.8910695725603186</v>
      </c>
      <c r="I71" s="157"/>
    </row>
    <row r="72" spans="1:9" ht="15.75" x14ac:dyDescent="0.25">
      <c r="A72" s="164"/>
      <c r="B72" s="165">
        <f>DATE(19,9,1)</f>
        <v>7184</v>
      </c>
      <c r="C72" s="226">
        <v>23331556.440000001</v>
      </c>
      <c r="D72" s="226">
        <v>2549839.52</v>
      </c>
      <c r="E72" s="226">
        <v>2483855.77</v>
      </c>
      <c r="F72" s="166">
        <f>(+D72-E72)/E72</f>
        <v>2.6565048903785585E-2</v>
      </c>
      <c r="G72" s="241">
        <f>D72/C72</f>
        <v>0.10928715906961584</v>
      </c>
      <c r="H72" s="242">
        <f>1-G72</f>
        <v>0.89071284093038416</v>
      </c>
      <c r="I72" s="157"/>
    </row>
    <row r="73" spans="1:9" ht="15.75" thickBot="1" x14ac:dyDescent="0.25">
      <c r="A73" s="167"/>
      <c r="B73" s="168"/>
      <c r="C73" s="226"/>
      <c r="D73" s="226"/>
      <c r="E73" s="226"/>
      <c r="F73" s="166"/>
      <c r="G73" s="241"/>
      <c r="H73" s="242"/>
      <c r="I73" s="157"/>
    </row>
    <row r="74" spans="1:9" ht="17.25" thickTop="1" thickBot="1" x14ac:dyDescent="0.3">
      <c r="A74" s="182" t="s">
        <v>14</v>
      </c>
      <c r="B74" s="183"/>
      <c r="C74" s="230">
        <f>SUM(C70:C73)</f>
        <v>72811596.700000003</v>
      </c>
      <c r="D74" s="230">
        <f>SUM(D70:D73)</f>
        <v>7989068.5800000001</v>
      </c>
      <c r="E74" s="230">
        <f>SUM(E70:E73)</f>
        <v>7700481.6699999999</v>
      </c>
      <c r="F74" s="176">
        <f>(+D74-E74)/E74</f>
        <v>3.747647515665084E-2</v>
      </c>
      <c r="G74" s="249">
        <f>D74/C74</f>
        <v>0.1097224747441914</v>
      </c>
      <c r="H74" s="246">
        <f>1-G74</f>
        <v>0.89027752525580861</v>
      </c>
      <c r="I74" s="157"/>
    </row>
    <row r="75" spans="1:9" ht="15.75" thickTop="1" x14ac:dyDescent="0.2">
      <c r="A75" s="167"/>
      <c r="B75" s="168"/>
      <c r="C75" s="226"/>
      <c r="D75" s="226"/>
      <c r="E75" s="226"/>
      <c r="F75" s="166"/>
      <c r="G75" s="241"/>
      <c r="H75" s="242"/>
      <c r="I75" s="157"/>
    </row>
    <row r="76" spans="1:9" ht="15.75" x14ac:dyDescent="0.25">
      <c r="A76" s="164" t="s">
        <v>40</v>
      </c>
      <c r="B76" s="165">
        <f>DATE(19,7,1)</f>
        <v>7122</v>
      </c>
      <c r="C76" s="226">
        <v>209413515.11000001</v>
      </c>
      <c r="D76" s="226">
        <v>19119192.239999998</v>
      </c>
      <c r="E76" s="226">
        <v>19406302.420000002</v>
      </c>
      <c r="F76" s="166">
        <f>(+D76-E76)/E76</f>
        <v>-1.4794687508533808E-2</v>
      </c>
      <c r="G76" s="241">
        <f>D76/C76</f>
        <v>9.1298750369369117E-2</v>
      </c>
      <c r="H76" s="242">
        <f>1-G76</f>
        <v>0.90870124963063093</v>
      </c>
      <c r="I76" s="157"/>
    </row>
    <row r="77" spans="1:9" ht="15.75" x14ac:dyDescent="0.25">
      <c r="A77" s="164"/>
      <c r="B77" s="165">
        <f>DATE(19,8,1)</f>
        <v>7153</v>
      </c>
      <c r="C77" s="226">
        <v>212666539.37</v>
      </c>
      <c r="D77" s="226">
        <v>19394509.940000001</v>
      </c>
      <c r="E77" s="226">
        <v>19632454.710000001</v>
      </c>
      <c r="F77" s="166">
        <f>(+D77-E77)/E77</f>
        <v>-1.2119970401806139E-2</v>
      </c>
      <c r="G77" s="241">
        <f>D77/C77</f>
        <v>9.119680979177068E-2</v>
      </c>
      <c r="H77" s="242">
        <f>1-G77</f>
        <v>0.90880319020822931</v>
      </c>
      <c r="I77" s="157"/>
    </row>
    <row r="78" spans="1:9" ht="15.75" x14ac:dyDescent="0.25">
      <c r="A78" s="164"/>
      <c r="B78" s="165">
        <f>DATE(19,9,1)</f>
        <v>7184</v>
      </c>
      <c r="C78" s="226">
        <v>194172445.72</v>
      </c>
      <c r="D78" s="226">
        <v>17543226.640000001</v>
      </c>
      <c r="E78" s="226">
        <v>18357005.34</v>
      </c>
      <c r="F78" s="166">
        <f>(+D78-E78)/E78</f>
        <v>-4.4330689288779125E-2</v>
      </c>
      <c r="G78" s="241">
        <f>D78/C78</f>
        <v>9.0348692755807564E-2</v>
      </c>
      <c r="H78" s="242">
        <f>1-G78</f>
        <v>0.90965130724419241</v>
      </c>
      <c r="I78" s="157"/>
    </row>
    <row r="79" spans="1:9" ht="15.75" thickBot="1" x14ac:dyDescent="0.25">
      <c r="A79" s="167"/>
      <c r="B79" s="168"/>
      <c r="C79" s="226"/>
      <c r="D79" s="226"/>
      <c r="E79" s="226"/>
      <c r="F79" s="166"/>
      <c r="G79" s="241"/>
      <c r="H79" s="242"/>
      <c r="I79" s="157"/>
    </row>
    <row r="80" spans="1:9" ht="17.25" thickTop="1" thickBot="1" x14ac:dyDescent="0.3">
      <c r="A80" s="174" t="s">
        <v>14</v>
      </c>
      <c r="B80" s="175"/>
      <c r="C80" s="228">
        <f>SUM(C76:C79)</f>
        <v>616252500.20000005</v>
      </c>
      <c r="D80" s="228">
        <f>SUM(D76:D79)</f>
        <v>56056928.82</v>
      </c>
      <c r="E80" s="228">
        <f>SUM(E76:E79)</f>
        <v>57395762.469999999</v>
      </c>
      <c r="F80" s="176">
        <f>(+D80-E80)/E80</f>
        <v>-2.3326350106417509E-2</v>
      </c>
      <c r="G80" s="245">
        <f>D80/C80</f>
        <v>9.0964221324549843E-2</v>
      </c>
      <c r="H80" s="246">
        <f>1-G80</f>
        <v>0.90903577867545016</v>
      </c>
      <c r="I80" s="157"/>
    </row>
    <row r="81" spans="1:9" ht="15.75" thickTop="1" x14ac:dyDescent="0.2">
      <c r="A81" s="167"/>
      <c r="B81" s="168"/>
      <c r="C81" s="226"/>
      <c r="D81" s="226"/>
      <c r="E81" s="226"/>
      <c r="F81" s="166"/>
      <c r="G81" s="241"/>
      <c r="H81" s="242"/>
      <c r="I81" s="157"/>
    </row>
    <row r="82" spans="1:9" ht="15.75" x14ac:dyDescent="0.25">
      <c r="A82" s="164" t="s">
        <v>64</v>
      </c>
      <c r="B82" s="165">
        <f>DATE(19,7,1)</f>
        <v>7122</v>
      </c>
      <c r="C82" s="226">
        <v>30055377.399999999</v>
      </c>
      <c r="D82" s="226">
        <v>3293709.88</v>
      </c>
      <c r="E82" s="226">
        <v>3425449</v>
      </c>
      <c r="F82" s="166">
        <f>(+D82-E82)/E82</f>
        <v>-3.8458934872479526E-2</v>
      </c>
      <c r="G82" s="241">
        <f>D82/C82</f>
        <v>0.10958803931039642</v>
      </c>
      <c r="H82" s="242">
        <f>1-G82</f>
        <v>0.8904119606896036</v>
      </c>
      <c r="I82" s="157"/>
    </row>
    <row r="83" spans="1:9" ht="15.75" x14ac:dyDescent="0.25">
      <c r="A83" s="164"/>
      <c r="B83" s="165">
        <f>DATE(19,8,1)</f>
        <v>7153</v>
      </c>
      <c r="C83" s="226">
        <v>32273780.59</v>
      </c>
      <c r="D83" s="226">
        <v>3283356.99</v>
      </c>
      <c r="E83" s="226">
        <v>3421840.59</v>
      </c>
      <c r="F83" s="166">
        <f>(+D83-E83)/E83</f>
        <v>-4.0470500117598882E-2</v>
      </c>
      <c r="G83" s="241">
        <f>D83/C83</f>
        <v>0.1017345018146819</v>
      </c>
      <c r="H83" s="242">
        <f>1-G83</f>
        <v>0.89826549818531809</v>
      </c>
      <c r="I83" s="157"/>
    </row>
    <row r="84" spans="1:9" ht="15.75" x14ac:dyDescent="0.25">
      <c r="A84" s="164"/>
      <c r="B84" s="165">
        <f>DATE(19,9,1)</f>
        <v>7184</v>
      </c>
      <c r="C84" s="226">
        <v>27948254.77</v>
      </c>
      <c r="D84" s="226">
        <v>3164787.25</v>
      </c>
      <c r="E84" s="226">
        <v>3252949</v>
      </c>
      <c r="F84" s="166">
        <f>(+D84-E84)/E84</f>
        <v>-2.7102100278854666E-2</v>
      </c>
      <c r="G84" s="241">
        <f>D84/C84</f>
        <v>0.11323738373091981</v>
      </c>
      <c r="H84" s="242">
        <f>1-G84</f>
        <v>0.88676261626908015</v>
      </c>
      <c r="I84" s="157"/>
    </row>
    <row r="85" spans="1:9" ht="15.75" thickBot="1" x14ac:dyDescent="0.25">
      <c r="A85" s="167"/>
      <c r="B85" s="168"/>
      <c r="C85" s="226"/>
      <c r="D85" s="226"/>
      <c r="E85" s="226"/>
      <c r="F85" s="166"/>
      <c r="G85" s="241"/>
      <c r="H85" s="242"/>
      <c r="I85" s="157"/>
    </row>
    <row r="86" spans="1:9" ht="17.25" thickTop="1" thickBot="1" x14ac:dyDescent="0.3">
      <c r="A86" s="169" t="s">
        <v>14</v>
      </c>
      <c r="B86" s="155"/>
      <c r="C86" s="223">
        <f>SUM(C82:C85)</f>
        <v>90277412.75999999</v>
      </c>
      <c r="D86" s="223">
        <f>SUM(D82:D85)</f>
        <v>9741854.120000001</v>
      </c>
      <c r="E86" s="223">
        <f>SUM(E82:E85)</f>
        <v>10100238.59</v>
      </c>
      <c r="F86" s="176">
        <f>(+D86-E86)/E86</f>
        <v>-3.5482772689629981E-2</v>
      </c>
      <c r="G86" s="245">
        <f>D86/C86</f>
        <v>0.10791020502435589</v>
      </c>
      <c r="H86" s="246">
        <f>1-G86</f>
        <v>0.89208979497564411</v>
      </c>
      <c r="I86" s="157"/>
    </row>
    <row r="87" spans="1:9" ht="16.5" thickTop="1" thickBot="1" x14ac:dyDescent="0.25">
      <c r="A87" s="171"/>
      <c r="B87" s="172"/>
      <c r="C87" s="227"/>
      <c r="D87" s="227"/>
      <c r="E87" s="227"/>
      <c r="F87" s="173"/>
      <c r="G87" s="243"/>
      <c r="H87" s="244"/>
      <c r="I87" s="157"/>
    </row>
    <row r="88" spans="1:9" ht="17.25" thickTop="1" thickBot="1" x14ac:dyDescent="0.3">
      <c r="A88" s="184" t="s">
        <v>41</v>
      </c>
      <c r="B88" s="155"/>
      <c r="C88" s="223">
        <f>C86+C80+C62+C50+C38+C26+C14+C32+C74+C20+C56+C68+C44</f>
        <v>3830083649.25</v>
      </c>
      <c r="D88" s="223">
        <f>D86+D80+D62+D50+D38+D26+D14+D32+D74+D20+D56+D68+D44</f>
        <v>372002096.99000001</v>
      </c>
      <c r="E88" s="223">
        <f>E86+E80+E62+E50+E38+E26+E14+E32+E74+E20+E56+E68+E44</f>
        <v>380640429.44999999</v>
      </c>
      <c r="F88" s="170">
        <f>(+D88-E88)/E88</f>
        <v>-2.2694206373405454E-2</v>
      </c>
      <c r="G88" s="236">
        <f>D88/C88</f>
        <v>9.7126363562019008E-2</v>
      </c>
      <c r="H88" s="237">
        <f>1-G88</f>
        <v>0.90287363643798102</v>
      </c>
      <c r="I88" s="157"/>
    </row>
    <row r="89" spans="1:9" ht="17.25" thickTop="1" thickBot="1" x14ac:dyDescent="0.3">
      <c r="A89" s="184"/>
      <c r="B89" s="155"/>
      <c r="C89" s="223"/>
      <c r="D89" s="223"/>
      <c r="E89" s="223"/>
      <c r="F89" s="170"/>
      <c r="G89" s="236"/>
      <c r="H89" s="237"/>
      <c r="I89" s="157"/>
    </row>
    <row r="90" spans="1:9" ht="17.25" thickTop="1" thickBot="1" x14ac:dyDescent="0.3">
      <c r="A90" s="184" t="s">
        <v>42</v>
      </c>
      <c r="B90" s="155"/>
      <c r="C90" s="223">
        <f>SUM(C12+C18+C24+C30+C36+C42+C48+C54+C60+C66+C72+C78+C84)</f>
        <v>1222290610.02</v>
      </c>
      <c r="D90" s="223">
        <f>SUM(D12+D18+D24+D30+D36+D42+D48+D54+D60+D66+D72+D78+D84)</f>
        <v>118783107.14999999</v>
      </c>
      <c r="E90" s="223">
        <f>SUM(E12+E18+E24+E30+E36+E42+E48+E54+E60+E66+E72+E78+E84)</f>
        <v>123289809.19999999</v>
      </c>
      <c r="F90" s="170">
        <f>(+D90-E90)/E90</f>
        <v>-3.655372718347915E-2</v>
      </c>
      <c r="G90" s="236">
        <f>D90/C90</f>
        <v>9.7180740959841277E-2</v>
      </c>
      <c r="H90" s="246">
        <f>1-G90</f>
        <v>0.90281925904015869</v>
      </c>
      <c r="I90" s="157"/>
    </row>
    <row r="91" spans="1:9" ht="16.5" thickTop="1" x14ac:dyDescent="0.25">
      <c r="A91" s="185"/>
      <c r="B91" s="186"/>
      <c r="C91" s="231"/>
      <c r="D91" s="231"/>
      <c r="E91" s="231"/>
      <c r="F91" s="187"/>
      <c r="G91" s="250"/>
      <c r="H91" s="250"/>
      <c r="I91" s="151"/>
    </row>
    <row r="92" spans="1:9" ht="16.5" customHeight="1" x14ac:dyDescent="0.3">
      <c r="A92" s="188" t="s">
        <v>52</v>
      </c>
      <c r="B92" s="189"/>
      <c r="C92" s="232"/>
      <c r="D92" s="232"/>
      <c r="E92" s="232"/>
      <c r="F92" s="190"/>
      <c r="G92" s="251"/>
      <c r="H92" s="251"/>
      <c r="I92" s="151"/>
    </row>
    <row r="93" spans="1:9" ht="15.75" x14ac:dyDescent="0.25">
      <c r="A93" s="191"/>
      <c r="B93" s="189"/>
      <c r="C93" s="232"/>
      <c r="D93" s="232"/>
      <c r="E93" s="232"/>
      <c r="F93" s="190"/>
      <c r="G93" s="257"/>
      <c r="H93" s="257"/>
      <c r="I93" s="151"/>
    </row>
    <row r="94" spans="1:9" ht="15.75" x14ac:dyDescent="0.25">
      <c r="A94" s="72"/>
      <c r="I94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1" manualBreakCount="1"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MONTHLY STATS</vt:lpstr>
      <vt:lpstr>YTD TAXES</vt:lpstr>
      <vt:lpstr>TABLE STATS</vt:lpstr>
      <vt:lpstr>SLOT STATS</vt:lpstr>
      <vt:lpstr>'MONTHLY STATS'!Print_Area</vt:lpstr>
      <vt:lpstr>'SLOT STATS'!Print_Area</vt:lpstr>
      <vt:lpstr>'TABLE STATS'!Print_Area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2019-10-09T13:59:09Z</cp:lastPrinted>
  <dcterms:created xsi:type="dcterms:W3CDTF">2003-09-09T14:41:43Z</dcterms:created>
  <dcterms:modified xsi:type="dcterms:W3CDTF">2019-10-09T20:42:34Z</dcterms:modified>
</cp:coreProperties>
</file>