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STATS'!$A$1:$M$91</definedName>
    <definedName name="_xlnm.Print_Area" localSheetId="4">'SLOT STATS'!$A$1:$I$92</definedName>
    <definedName name="_xlnm.Print_Area" localSheetId="2">'TABLE STATS'!$A$1:$H$91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E90" i="4" l="1"/>
  <c r="D90" i="4"/>
  <c r="G90" i="4" s="1"/>
  <c r="H90" i="4" s="1"/>
  <c r="C90" i="4"/>
  <c r="G84" i="4"/>
  <c r="H84" i="4"/>
  <c r="F84" i="4"/>
  <c r="H78" i="4"/>
  <c r="G78" i="4"/>
  <c r="F78" i="4"/>
  <c r="G72" i="4"/>
  <c r="H72" i="4"/>
  <c r="F72" i="4"/>
  <c r="G66" i="4"/>
  <c r="H66" i="4"/>
  <c r="F66" i="4"/>
  <c r="G60" i="4"/>
  <c r="H60" i="4" s="1"/>
  <c r="F60" i="4"/>
  <c r="G54" i="4"/>
  <c r="H54" i="4" s="1"/>
  <c r="F54" i="4"/>
  <c r="G48" i="4"/>
  <c r="H48" i="4"/>
  <c r="F48" i="4"/>
  <c r="G42" i="4"/>
  <c r="H42" i="4"/>
  <c r="F42" i="4"/>
  <c r="G36" i="4"/>
  <c r="H36" i="4"/>
  <c r="F36" i="4"/>
  <c r="G30" i="4"/>
  <c r="H30" i="4" s="1"/>
  <c r="F30" i="4"/>
  <c r="G24" i="4"/>
  <c r="H24" i="4"/>
  <c r="F24" i="4"/>
  <c r="G18" i="4"/>
  <c r="H18" i="4"/>
  <c r="F18" i="4"/>
  <c r="G12" i="4"/>
  <c r="H12" i="4"/>
  <c r="F12" i="4"/>
  <c r="B84" i="4"/>
  <c r="B78" i="4"/>
  <c r="B72" i="4"/>
  <c r="B66" i="4"/>
  <c r="B60" i="4"/>
  <c r="B54" i="4"/>
  <c r="B48" i="4"/>
  <c r="B42" i="4"/>
  <c r="B36" i="4"/>
  <c r="B30" i="4"/>
  <c r="B24" i="4"/>
  <c r="B18" i="4"/>
  <c r="B12" i="4"/>
  <c r="D90" i="5"/>
  <c r="C90" i="5"/>
  <c r="G90" i="5" s="1"/>
  <c r="H90" i="5" s="1"/>
  <c r="G54" i="5"/>
  <c r="H54" i="5"/>
  <c r="B84" i="5"/>
  <c r="B78" i="5"/>
  <c r="B72" i="5"/>
  <c r="B66" i="5"/>
  <c r="B60" i="5"/>
  <c r="B54" i="5"/>
  <c r="B48" i="5"/>
  <c r="B42" i="5"/>
  <c r="B36" i="5"/>
  <c r="B30" i="5"/>
  <c r="B24" i="5"/>
  <c r="B18" i="5"/>
  <c r="B12" i="5"/>
  <c r="E89" i="3"/>
  <c r="F89" i="3"/>
  <c r="D89" i="3"/>
  <c r="C89" i="3"/>
  <c r="G83" i="3"/>
  <c r="F83" i="3"/>
  <c r="G77" i="3"/>
  <c r="F77" i="3"/>
  <c r="G71" i="3"/>
  <c r="F71" i="3"/>
  <c r="G65" i="3"/>
  <c r="F65" i="3"/>
  <c r="G59" i="3"/>
  <c r="F59" i="3"/>
  <c r="G53" i="3"/>
  <c r="F53" i="3"/>
  <c r="G47" i="3"/>
  <c r="F47" i="3"/>
  <c r="G41" i="3"/>
  <c r="F41" i="3"/>
  <c r="G35" i="3"/>
  <c r="F35" i="3"/>
  <c r="G29" i="3"/>
  <c r="F29" i="3"/>
  <c r="G23" i="3"/>
  <c r="F23" i="3"/>
  <c r="G17" i="3"/>
  <c r="F17" i="3"/>
  <c r="G11" i="3"/>
  <c r="F11" i="3"/>
  <c r="B83" i="3"/>
  <c r="B77" i="3"/>
  <c r="B71" i="3"/>
  <c r="B65" i="3"/>
  <c r="B59" i="3"/>
  <c r="B53" i="3"/>
  <c r="B47" i="3"/>
  <c r="B41" i="3"/>
  <c r="B35" i="3"/>
  <c r="B29" i="3"/>
  <c r="B23" i="3"/>
  <c r="B17" i="3"/>
  <c r="B11" i="3"/>
  <c r="N33" i="2"/>
  <c r="M33" i="2"/>
  <c r="L33" i="2"/>
  <c r="K33" i="2"/>
  <c r="K44" i="2" s="1"/>
  <c r="J33" i="2"/>
  <c r="J44" i="2" s="1"/>
  <c r="I33" i="2"/>
  <c r="H33" i="2"/>
  <c r="H44" i="2" s="1"/>
  <c r="G33" i="2"/>
  <c r="F33" i="2"/>
  <c r="E33" i="2"/>
  <c r="D33" i="2"/>
  <c r="C33" i="2"/>
  <c r="B33" i="2"/>
  <c r="N12" i="2"/>
  <c r="M12" i="2"/>
  <c r="L12" i="2"/>
  <c r="K12" i="2"/>
  <c r="O12" i="2" s="1"/>
  <c r="J12" i="2"/>
  <c r="I12" i="2"/>
  <c r="H12" i="2"/>
  <c r="G12" i="2"/>
  <c r="F12" i="2"/>
  <c r="E12" i="2"/>
  <c r="D12" i="2"/>
  <c r="C12" i="2"/>
  <c r="B12" i="2"/>
  <c r="B23" i="2" s="1"/>
  <c r="A33" i="2"/>
  <c r="A12" i="2"/>
  <c r="F46" i="1"/>
  <c r="J46" i="1" s="1"/>
  <c r="F51" i="1"/>
  <c r="L89" i="1"/>
  <c r="K89" i="1"/>
  <c r="D89" i="1"/>
  <c r="C89" i="1"/>
  <c r="E89" i="1"/>
  <c r="M83" i="1"/>
  <c r="J83" i="1"/>
  <c r="I83" i="1"/>
  <c r="E83" i="1"/>
  <c r="G83" i="1"/>
  <c r="H83" i="1" s="1"/>
  <c r="F83" i="1"/>
  <c r="M77" i="1"/>
  <c r="I77" i="1"/>
  <c r="E77" i="1"/>
  <c r="G77" i="1"/>
  <c r="F77" i="1"/>
  <c r="J77" i="1" s="1"/>
  <c r="M71" i="1"/>
  <c r="J71" i="1"/>
  <c r="I71" i="1"/>
  <c r="E71" i="1"/>
  <c r="G71" i="1"/>
  <c r="H71" i="1" s="1"/>
  <c r="F71" i="1"/>
  <c r="M65" i="1"/>
  <c r="I65" i="1"/>
  <c r="E65" i="1"/>
  <c r="G65" i="1"/>
  <c r="G67" i="1" s="1"/>
  <c r="H67" i="1" s="1"/>
  <c r="F65" i="1"/>
  <c r="J65" i="1" s="1"/>
  <c r="F67" i="1"/>
  <c r="J67" i="1" s="1"/>
  <c r="M59" i="1"/>
  <c r="I59" i="1"/>
  <c r="E59" i="1"/>
  <c r="G59" i="1"/>
  <c r="F59" i="1"/>
  <c r="J59" i="1" s="1"/>
  <c r="M53" i="1"/>
  <c r="J53" i="1"/>
  <c r="I53" i="1"/>
  <c r="E53" i="1"/>
  <c r="G53" i="1"/>
  <c r="H53" i="1" s="1"/>
  <c r="F53" i="1"/>
  <c r="M47" i="1"/>
  <c r="I47" i="1"/>
  <c r="E47" i="1"/>
  <c r="G47" i="1"/>
  <c r="G49" i="1" s="1"/>
  <c r="F47" i="1"/>
  <c r="J47" i="1" s="1"/>
  <c r="M41" i="1"/>
  <c r="I41" i="1"/>
  <c r="E41" i="1"/>
  <c r="G23" i="1"/>
  <c r="H23" i="1" s="1"/>
  <c r="F23" i="1"/>
  <c r="G41" i="1"/>
  <c r="F41" i="1"/>
  <c r="J41" i="1" s="1"/>
  <c r="M35" i="1"/>
  <c r="J35" i="1"/>
  <c r="I35" i="1"/>
  <c r="H35" i="1"/>
  <c r="E35" i="1"/>
  <c r="G35" i="1"/>
  <c r="F35" i="1"/>
  <c r="M29" i="1"/>
  <c r="I29" i="1"/>
  <c r="E29" i="1"/>
  <c r="G29" i="1"/>
  <c r="F29" i="1"/>
  <c r="J29" i="1" s="1"/>
  <c r="M23" i="1"/>
  <c r="I23" i="1"/>
  <c r="E23" i="1"/>
  <c r="J23" i="1"/>
  <c r="M17" i="1"/>
  <c r="I17" i="1"/>
  <c r="E17" i="1"/>
  <c r="G17" i="1"/>
  <c r="G89" i="1" s="1"/>
  <c r="F17" i="1"/>
  <c r="F19" i="1" s="1"/>
  <c r="H19" i="1" s="1"/>
  <c r="M11" i="1"/>
  <c r="J11" i="1"/>
  <c r="I11" i="1"/>
  <c r="H11" i="1"/>
  <c r="E11" i="1"/>
  <c r="G11" i="1"/>
  <c r="F11" i="1"/>
  <c r="B83" i="1"/>
  <c r="B77" i="1"/>
  <c r="B71" i="1"/>
  <c r="B65" i="1"/>
  <c r="B59" i="1"/>
  <c r="B53" i="1"/>
  <c r="B47" i="1"/>
  <c r="B41" i="1"/>
  <c r="B35" i="1"/>
  <c r="B29" i="1"/>
  <c r="B23" i="1"/>
  <c r="B17" i="1"/>
  <c r="B11" i="1"/>
  <c r="G83" i="4"/>
  <c r="H83" i="4"/>
  <c r="F83" i="4"/>
  <c r="G77" i="4"/>
  <c r="H77" i="4"/>
  <c r="F77" i="4"/>
  <c r="G71" i="4"/>
  <c r="H71" i="4"/>
  <c r="F71" i="4"/>
  <c r="G65" i="4"/>
  <c r="H65" i="4"/>
  <c r="F65" i="4"/>
  <c r="G59" i="4"/>
  <c r="H59" i="4"/>
  <c r="F59" i="4"/>
  <c r="G53" i="4"/>
  <c r="H53" i="4"/>
  <c r="F53" i="4"/>
  <c r="G47" i="4"/>
  <c r="H47" i="4"/>
  <c r="F47" i="4"/>
  <c r="G41" i="4"/>
  <c r="H41" i="4"/>
  <c r="F41" i="4"/>
  <c r="G35" i="4"/>
  <c r="H35" i="4"/>
  <c r="F35" i="4"/>
  <c r="G29" i="4"/>
  <c r="H29" i="4"/>
  <c r="F29" i="4"/>
  <c r="G23" i="4"/>
  <c r="H23" i="4"/>
  <c r="F23" i="4"/>
  <c r="G17" i="4"/>
  <c r="H17" i="4"/>
  <c r="F17" i="4"/>
  <c r="G11" i="4"/>
  <c r="H11" i="4"/>
  <c r="F11" i="4"/>
  <c r="B83" i="4"/>
  <c r="B82" i="4"/>
  <c r="B77" i="4"/>
  <c r="B76" i="4"/>
  <c r="B71" i="4"/>
  <c r="B70" i="4"/>
  <c r="B65" i="4"/>
  <c r="B64" i="4"/>
  <c r="B59" i="4"/>
  <c r="B58" i="4"/>
  <c r="B53" i="4"/>
  <c r="B52" i="4"/>
  <c r="B47" i="4"/>
  <c r="B46" i="4"/>
  <c r="B41" i="4"/>
  <c r="B40" i="4"/>
  <c r="B35" i="4"/>
  <c r="B34" i="4"/>
  <c r="B29" i="4"/>
  <c r="B28" i="4"/>
  <c r="B23" i="4"/>
  <c r="B22" i="4"/>
  <c r="B17" i="4"/>
  <c r="B16" i="4"/>
  <c r="B11" i="4"/>
  <c r="B10" i="4"/>
  <c r="E90" i="5"/>
  <c r="G53" i="5"/>
  <c r="H53" i="5"/>
  <c r="B83" i="5"/>
  <c r="B82" i="5"/>
  <c r="B77" i="5"/>
  <c r="B76" i="5"/>
  <c r="B71" i="5"/>
  <c r="B70" i="5"/>
  <c r="B65" i="5"/>
  <c r="B64" i="5"/>
  <c r="B59" i="5"/>
  <c r="B58" i="5"/>
  <c r="B53" i="5"/>
  <c r="B52" i="5"/>
  <c r="B47" i="5"/>
  <c r="B46" i="5"/>
  <c r="B41" i="5"/>
  <c r="B40" i="5"/>
  <c r="B35" i="5"/>
  <c r="B34" i="5"/>
  <c r="B29" i="5"/>
  <c r="B28" i="5"/>
  <c r="B23" i="5"/>
  <c r="B22" i="5"/>
  <c r="B17" i="5"/>
  <c r="B16" i="5"/>
  <c r="B11" i="5"/>
  <c r="B10" i="5"/>
  <c r="G82" i="3"/>
  <c r="F82" i="3"/>
  <c r="G76" i="3"/>
  <c r="F76" i="3"/>
  <c r="G70" i="3"/>
  <c r="F70" i="3"/>
  <c r="G64" i="3"/>
  <c r="F64" i="3"/>
  <c r="G58" i="3"/>
  <c r="F58" i="3"/>
  <c r="G52" i="3"/>
  <c r="F52" i="3"/>
  <c r="G46" i="3"/>
  <c r="F46" i="3"/>
  <c r="G40" i="3"/>
  <c r="F40" i="3"/>
  <c r="G34" i="3"/>
  <c r="F34" i="3"/>
  <c r="G28" i="3"/>
  <c r="F28" i="3"/>
  <c r="G22" i="3"/>
  <c r="F22" i="3"/>
  <c r="G16" i="3"/>
  <c r="F16" i="3"/>
  <c r="G10" i="3"/>
  <c r="F10" i="3"/>
  <c r="B82" i="3"/>
  <c r="B81" i="3"/>
  <c r="B76" i="3"/>
  <c r="B75" i="3"/>
  <c r="B70" i="3"/>
  <c r="B69" i="3"/>
  <c r="B64" i="3"/>
  <c r="B63" i="3"/>
  <c r="B58" i="3"/>
  <c r="B57" i="3"/>
  <c r="B52" i="3"/>
  <c r="B51" i="3"/>
  <c r="B46" i="3"/>
  <c r="B45" i="3"/>
  <c r="B40" i="3"/>
  <c r="B39" i="3"/>
  <c r="B34" i="3"/>
  <c r="B33" i="3"/>
  <c r="B28" i="3"/>
  <c r="B27" i="3"/>
  <c r="B22" i="3"/>
  <c r="B21" i="3"/>
  <c r="B16" i="3"/>
  <c r="B15" i="3"/>
  <c r="B10" i="3"/>
  <c r="B9" i="3"/>
  <c r="N32" i="2"/>
  <c r="N44" i="2" s="1"/>
  <c r="M32" i="2"/>
  <c r="L32" i="2"/>
  <c r="K32" i="2"/>
  <c r="J32" i="2"/>
  <c r="I32" i="2"/>
  <c r="H32" i="2"/>
  <c r="G32" i="2"/>
  <c r="F32" i="2"/>
  <c r="E32" i="2"/>
  <c r="D32" i="2"/>
  <c r="C32" i="2"/>
  <c r="C44" i="2" s="1"/>
  <c r="B32" i="2"/>
  <c r="O32" i="2" s="1"/>
  <c r="N11" i="2"/>
  <c r="M11" i="2"/>
  <c r="L11" i="2"/>
  <c r="K11" i="2"/>
  <c r="J11" i="2"/>
  <c r="I11" i="2"/>
  <c r="H11" i="2"/>
  <c r="G11" i="2"/>
  <c r="F11" i="2"/>
  <c r="F23" i="2" s="1"/>
  <c r="E11" i="2"/>
  <c r="D11" i="2"/>
  <c r="C11" i="2"/>
  <c r="O11" i="2" s="1"/>
  <c r="B11" i="2"/>
  <c r="A32" i="2"/>
  <c r="A31" i="2"/>
  <c r="A11" i="2"/>
  <c r="A10" i="2"/>
  <c r="M82" i="1"/>
  <c r="I82" i="1"/>
  <c r="E82" i="1"/>
  <c r="G82" i="1"/>
  <c r="H82" i="1" s="1"/>
  <c r="G81" i="1"/>
  <c r="H81" i="1" s="1"/>
  <c r="F82" i="1"/>
  <c r="J82" i="1" s="1"/>
  <c r="F81" i="1"/>
  <c r="J81" i="1" s="1"/>
  <c r="M76" i="1"/>
  <c r="I76" i="1"/>
  <c r="E76" i="1"/>
  <c r="G76" i="1"/>
  <c r="G75" i="1"/>
  <c r="F76" i="1"/>
  <c r="J76" i="1" s="1"/>
  <c r="F75" i="1"/>
  <c r="F79" i="1" s="1"/>
  <c r="M70" i="1"/>
  <c r="J70" i="1"/>
  <c r="I70" i="1"/>
  <c r="E70" i="1"/>
  <c r="G70" i="1"/>
  <c r="H70" i="1" s="1"/>
  <c r="G69" i="1"/>
  <c r="F70" i="1"/>
  <c r="F69" i="1"/>
  <c r="M64" i="1"/>
  <c r="J64" i="1"/>
  <c r="I64" i="1"/>
  <c r="H64" i="1"/>
  <c r="E64" i="1"/>
  <c r="G64" i="1"/>
  <c r="G63" i="1"/>
  <c r="F64" i="1"/>
  <c r="F63" i="1"/>
  <c r="J63" i="1" s="1"/>
  <c r="M58" i="1"/>
  <c r="I58" i="1"/>
  <c r="E58" i="1"/>
  <c r="G58" i="1"/>
  <c r="H58" i="1" s="1"/>
  <c r="G57" i="1"/>
  <c r="F58" i="1"/>
  <c r="J58" i="1" s="1"/>
  <c r="F57" i="1"/>
  <c r="F61" i="1" s="1"/>
  <c r="H61" i="1" s="1"/>
  <c r="M52" i="1"/>
  <c r="I52" i="1"/>
  <c r="E52" i="1"/>
  <c r="G52" i="1"/>
  <c r="G51" i="1"/>
  <c r="H51" i="1" s="1"/>
  <c r="F52" i="1"/>
  <c r="J52" i="1" s="1"/>
  <c r="J51" i="1"/>
  <c r="M46" i="1"/>
  <c r="I46" i="1"/>
  <c r="E46" i="1"/>
  <c r="G46" i="1"/>
  <c r="G45" i="1"/>
  <c r="F45" i="1"/>
  <c r="M40" i="1"/>
  <c r="I40" i="1"/>
  <c r="E40" i="1"/>
  <c r="G40" i="1"/>
  <c r="H40" i="1" s="1"/>
  <c r="G39" i="1"/>
  <c r="G43" i="1" s="1"/>
  <c r="F40" i="1"/>
  <c r="J40" i="1" s="1"/>
  <c r="F39" i="1"/>
  <c r="M34" i="1"/>
  <c r="I34" i="1"/>
  <c r="E34" i="1"/>
  <c r="G34" i="1"/>
  <c r="G33" i="1"/>
  <c r="F34" i="1"/>
  <c r="J34" i="1" s="1"/>
  <c r="F33" i="1"/>
  <c r="J33" i="1" s="1"/>
  <c r="M28" i="1"/>
  <c r="J28" i="1"/>
  <c r="I28" i="1"/>
  <c r="E28" i="1"/>
  <c r="G28" i="1"/>
  <c r="G27" i="1"/>
  <c r="F28" i="1"/>
  <c r="H28" i="1" s="1"/>
  <c r="F27" i="1"/>
  <c r="H27" i="1" s="1"/>
  <c r="M22" i="1"/>
  <c r="J22" i="1"/>
  <c r="I22" i="1"/>
  <c r="E22" i="1"/>
  <c r="G22" i="1"/>
  <c r="G25" i="1" s="1"/>
  <c r="G21" i="1"/>
  <c r="F22" i="1"/>
  <c r="H22" i="1" s="1"/>
  <c r="F21" i="1"/>
  <c r="M16" i="1"/>
  <c r="I16" i="1"/>
  <c r="E16" i="1"/>
  <c r="G16" i="1"/>
  <c r="G19" i="1" s="1"/>
  <c r="G15" i="1"/>
  <c r="F16" i="1"/>
  <c r="J16" i="1" s="1"/>
  <c r="F15" i="1"/>
  <c r="M10" i="1"/>
  <c r="I10" i="1"/>
  <c r="E10" i="1"/>
  <c r="G10" i="1"/>
  <c r="G9" i="1"/>
  <c r="G13" i="1" s="1"/>
  <c r="F10" i="1"/>
  <c r="J10" i="1" s="1"/>
  <c r="F9" i="1"/>
  <c r="J9" i="1" s="1"/>
  <c r="B82" i="1"/>
  <c r="B81" i="1"/>
  <c r="B76" i="1"/>
  <c r="B75" i="1"/>
  <c r="B70" i="1"/>
  <c r="B69" i="1"/>
  <c r="B64" i="1"/>
  <c r="B63" i="1"/>
  <c r="B58" i="1"/>
  <c r="B57" i="1"/>
  <c r="B52" i="1"/>
  <c r="B51" i="1"/>
  <c r="B46" i="1"/>
  <c r="B45" i="1"/>
  <c r="B40" i="1"/>
  <c r="B39" i="1"/>
  <c r="B34" i="1"/>
  <c r="B33" i="1"/>
  <c r="B28" i="1"/>
  <c r="B27" i="1"/>
  <c r="B22" i="1"/>
  <c r="B21" i="1"/>
  <c r="B16" i="1"/>
  <c r="B15" i="1"/>
  <c r="B10" i="1"/>
  <c r="B9" i="1"/>
  <c r="E86" i="5"/>
  <c r="D86" i="5"/>
  <c r="C86" i="5"/>
  <c r="E80" i="5"/>
  <c r="D80" i="5"/>
  <c r="C80" i="5"/>
  <c r="E74" i="5"/>
  <c r="D74" i="5"/>
  <c r="C74" i="5"/>
  <c r="E68" i="5"/>
  <c r="D68" i="5"/>
  <c r="C68" i="5"/>
  <c r="E62" i="5"/>
  <c r="D62" i="5"/>
  <c r="C62" i="5"/>
  <c r="E56" i="5"/>
  <c r="D56" i="5"/>
  <c r="C56" i="5"/>
  <c r="G56" i="5"/>
  <c r="H56" i="5"/>
  <c r="E50" i="5"/>
  <c r="D50" i="5"/>
  <c r="D88" i="5" s="1"/>
  <c r="G88" i="5" s="1"/>
  <c r="H88" i="5" s="1"/>
  <c r="C50" i="5"/>
  <c r="E44" i="5"/>
  <c r="D44" i="5"/>
  <c r="C44" i="5"/>
  <c r="E38" i="5"/>
  <c r="D38" i="5"/>
  <c r="C38" i="5"/>
  <c r="E32" i="5"/>
  <c r="D32" i="5"/>
  <c r="C32" i="5"/>
  <c r="C88" i="5" s="1"/>
  <c r="E26" i="5"/>
  <c r="D26" i="5"/>
  <c r="C26" i="5"/>
  <c r="E20" i="5"/>
  <c r="D20" i="5"/>
  <c r="C20" i="5"/>
  <c r="E14" i="5"/>
  <c r="D14" i="5"/>
  <c r="C14" i="5"/>
  <c r="J21" i="1"/>
  <c r="J15" i="1"/>
  <c r="J75" i="1"/>
  <c r="J69" i="1"/>
  <c r="L31" i="1"/>
  <c r="F40" i="4"/>
  <c r="F39" i="3"/>
  <c r="M39" i="1"/>
  <c r="E39" i="1"/>
  <c r="F82" i="4"/>
  <c r="F81" i="3"/>
  <c r="G31" i="2"/>
  <c r="G44" i="2" s="1"/>
  <c r="G10" i="2"/>
  <c r="M81" i="1"/>
  <c r="E81" i="1"/>
  <c r="E44" i="4"/>
  <c r="D44" i="4"/>
  <c r="F44" i="4" s="1"/>
  <c r="C44" i="4"/>
  <c r="G44" i="4"/>
  <c r="H44" i="4"/>
  <c r="G40" i="4"/>
  <c r="H40" i="4" s="1"/>
  <c r="E43" i="3"/>
  <c r="F43" i="3" s="1"/>
  <c r="D43" i="3"/>
  <c r="C43" i="3"/>
  <c r="G43" i="3" s="1"/>
  <c r="G39" i="3"/>
  <c r="L43" i="1"/>
  <c r="D43" i="1"/>
  <c r="C43" i="1"/>
  <c r="E43" i="1" s="1"/>
  <c r="I39" i="1"/>
  <c r="G82" i="4"/>
  <c r="H82" i="4"/>
  <c r="G81" i="3"/>
  <c r="I81" i="1"/>
  <c r="D13" i="1"/>
  <c r="D19" i="1"/>
  <c r="D25" i="1"/>
  <c r="D31" i="1"/>
  <c r="D37" i="1"/>
  <c r="D49" i="1"/>
  <c r="D55" i="1"/>
  <c r="D61" i="1"/>
  <c r="D67" i="1"/>
  <c r="D73" i="1"/>
  <c r="D79" i="1"/>
  <c r="D87" i="1" s="1"/>
  <c r="D85" i="1"/>
  <c r="E85" i="1" s="1"/>
  <c r="C85" i="1"/>
  <c r="C86" i="4"/>
  <c r="D86" i="4"/>
  <c r="G86" i="4" s="1"/>
  <c r="H86" i="4" s="1"/>
  <c r="C85" i="3"/>
  <c r="C87" i="3" s="1"/>
  <c r="D85" i="3"/>
  <c r="D87" i="3" s="1"/>
  <c r="F85" i="3"/>
  <c r="E14" i="4"/>
  <c r="E20" i="4"/>
  <c r="E26" i="4"/>
  <c r="F26" i="4" s="1"/>
  <c r="E32" i="4"/>
  <c r="E38" i="4"/>
  <c r="E50" i="4"/>
  <c r="E56" i="4"/>
  <c r="E62" i="4"/>
  <c r="E68" i="4"/>
  <c r="F68" i="4"/>
  <c r="E74" i="4"/>
  <c r="F74" i="4" s="1"/>
  <c r="E80" i="4"/>
  <c r="E86" i="4"/>
  <c r="F86" i="4" s="1"/>
  <c r="D14" i="4"/>
  <c r="F14" i="4" s="1"/>
  <c r="D20" i="4"/>
  <c r="G20" i="4" s="1"/>
  <c r="H20" i="4" s="1"/>
  <c r="D26" i="4"/>
  <c r="D32" i="4"/>
  <c r="D38" i="4"/>
  <c r="G38" i="4" s="1"/>
  <c r="H38" i="4" s="1"/>
  <c r="F38" i="4"/>
  <c r="D50" i="4"/>
  <c r="F50" i="4" s="1"/>
  <c r="D56" i="4"/>
  <c r="G56" i="4" s="1"/>
  <c r="H56" i="4" s="1"/>
  <c r="D62" i="4"/>
  <c r="G62" i="4" s="1"/>
  <c r="H62" i="4" s="1"/>
  <c r="D68" i="4"/>
  <c r="D74" i="4"/>
  <c r="D80" i="4"/>
  <c r="D88" i="4" s="1"/>
  <c r="C14" i="4"/>
  <c r="C20" i="4"/>
  <c r="C88" i="4" s="1"/>
  <c r="C26" i="4"/>
  <c r="C32" i="4"/>
  <c r="G32" i="4" s="1"/>
  <c r="H32" i="4" s="1"/>
  <c r="C38" i="4"/>
  <c r="C50" i="4"/>
  <c r="C56" i="4"/>
  <c r="C62" i="4"/>
  <c r="C68" i="4"/>
  <c r="G68" i="4" s="1"/>
  <c r="H68" i="4" s="1"/>
  <c r="C74" i="4"/>
  <c r="G74" i="4" s="1"/>
  <c r="H74" i="4" s="1"/>
  <c r="C80" i="4"/>
  <c r="G80" i="4"/>
  <c r="H80" i="4" s="1"/>
  <c r="F64" i="4"/>
  <c r="E13" i="3"/>
  <c r="E19" i="3"/>
  <c r="E25" i="3"/>
  <c r="F25" i="3" s="1"/>
  <c r="E31" i="3"/>
  <c r="E37" i="3"/>
  <c r="E49" i="3"/>
  <c r="E55" i="3"/>
  <c r="E61" i="3"/>
  <c r="E67" i="3"/>
  <c r="E73" i="3"/>
  <c r="F73" i="3" s="1"/>
  <c r="E79" i="3"/>
  <c r="E85" i="3"/>
  <c r="E87" i="3" s="1"/>
  <c r="D13" i="3"/>
  <c r="G13" i="3" s="1"/>
  <c r="D19" i="3"/>
  <c r="D25" i="3"/>
  <c r="D31" i="3"/>
  <c r="D37" i="3"/>
  <c r="G37" i="3" s="1"/>
  <c r="F37" i="3"/>
  <c r="D49" i="3"/>
  <c r="G49" i="3" s="1"/>
  <c r="F49" i="3"/>
  <c r="D55" i="3"/>
  <c r="F55" i="3" s="1"/>
  <c r="G55" i="3"/>
  <c r="D61" i="3"/>
  <c r="F61" i="3" s="1"/>
  <c r="D67" i="3"/>
  <c r="F67" i="3" s="1"/>
  <c r="D73" i="3"/>
  <c r="G73" i="3"/>
  <c r="D79" i="3"/>
  <c r="F79" i="3" s="1"/>
  <c r="C13" i="3"/>
  <c r="C19" i="3"/>
  <c r="G19" i="3" s="1"/>
  <c r="C25" i="3"/>
  <c r="G25" i="3" s="1"/>
  <c r="C31" i="3"/>
  <c r="C37" i="3"/>
  <c r="C49" i="3"/>
  <c r="C55" i="3"/>
  <c r="C61" i="3"/>
  <c r="C67" i="3"/>
  <c r="C73" i="3"/>
  <c r="C79" i="3"/>
  <c r="G79" i="3"/>
  <c r="F63" i="3"/>
  <c r="M63" i="1"/>
  <c r="E63" i="1"/>
  <c r="L13" i="1"/>
  <c r="L19" i="1"/>
  <c r="L25" i="1"/>
  <c r="M25" i="1"/>
  <c r="L37" i="1"/>
  <c r="L49" i="1"/>
  <c r="L55" i="1"/>
  <c r="L61" i="1"/>
  <c r="L87" i="1" s="1"/>
  <c r="L67" i="1"/>
  <c r="M67" i="1" s="1"/>
  <c r="L73" i="1"/>
  <c r="L79" i="1"/>
  <c r="K13" i="1"/>
  <c r="M13" i="1" s="1"/>
  <c r="K19" i="1"/>
  <c r="M19" i="1" s="1"/>
  <c r="C13" i="1"/>
  <c r="C19" i="1"/>
  <c r="E19" i="1" s="1"/>
  <c r="C25" i="1"/>
  <c r="E25" i="1" s="1"/>
  <c r="C31" i="1"/>
  <c r="C37" i="1"/>
  <c r="C49" i="1"/>
  <c r="I49" i="1"/>
  <c r="C55" i="1"/>
  <c r="E55" i="1" s="1"/>
  <c r="C61" i="1"/>
  <c r="E61" i="1" s="1"/>
  <c r="C67" i="1"/>
  <c r="E67" i="1" s="1"/>
  <c r="C73" i="1"/>
  <c r="C79" i="1"/>
  <c r="E69" i="1"/>
  <c r="I69" i="1"/>
  <c r="M69" i="1"/>
  <c r="K67" i="1"/>
  <c r="F76" i="4"/>
  <c r="K31" i="2"/>
  <c r="K10" i="2"/>
  <c r="K23" i="2" s="1"/>
  <c r="K31" i="1"/>
  <c r="M31" i="1" s="1"/>
  <c r="K37" i="1"/>
  <c r="M37" i="1" s="1"/>
  <c r="K49" i="1"/>
  <c r="M49" i="1" s="1"/>
  <c r="K55" i="1"/>
  <c r="K61" i="1"/>
  <c r="I61" i="1" s="1"/>
  <c r="K79" i="1"/>
  <c r="M79" i="1" s="1"/>
  <c r="I63" i="1"/>
  <c r="G64" i="4"/>
  <c r="H64" i="4"/>
  <c r="G63" i="3"/>
  <c r="F52" i="4"/>
  <c r="F51" i="3"/>
  <c r="N31" i="2"/>
  <c r="M31" i="2"/>
  <c r="M44" i="2" s="1"/>
  <c r="L31" i="2"/>
  <c r="J31" i="2"/>
  <c r="I31" i="2"/>
  <c r="I44" i="2" s="1"/>
  <c r="H31" i="2"/>
  <c r="F31" i="2"/>
  <c r="E31" i="2"/>
  <c r="C31" i="2"/>
  <c r="B31" i="2"/>
  <c r="O31" i="2" s="1"/>
  <c r="M51" i="1"/>
  <c r="E51" i="1"/>
  <c r="I10" i="2"/>
  <c r="G52" i="4"/>
  <c r="H52" i="4" s="1"/>
  <c r="G58" i="4"/>
  <c r="H58" i="4" s="1"/>
  <c r="F58" i="4"/>
  <c r="G51" i="3"/>
  <c r="I51" i="1"/>
  <c r="F10" i="4"/>
  <c r="G10" i="4"/>
  <c r="H10" i="4"/>
  <c r="I9" i="1"/>
  <c r="I15" i="1"/>
  <c r="I27" i="1"/>
  <c r="I33" i="1"/>
  <c r="I45" i="1"/>
  <c r="I57" i="1"/>
  <c r="I75" i="1"/>
  <c r="E9" i="1"/>
  <c r="M9" i="1"/>
  <c r="E15" i="1"/>
  <c r="M15" i="1"/>
  <c r="E21" i="1"/>
  <c r="E27" i="1"/>
  <c r="M27" i="1"/>
  <c r="E33" i="1"/>
  <c r="M33" i="1"/>
  <c r="E45" i="1"/>
  <c r="M45" i="1"/>
  <c r="E57" i="1"/>
  <c r="M57" i="1"/>
  <c r="E75" i="1"/>
  <c r="M75" i="1"/>
  <c r="F16" i="4"/>
  <c r="G16" i="4"/>
  <c r="H16" i="4" s="1"/>
  <c r="F22" i="4"/>
  <c r="G22" i="4"/>
  <c r="H22" i="4" s="1"/>
  <c r="F28" i="4"/>
  <c r="G28" i="4"/>
  <c r="H28" i="4"/>
  <c r="F34" i="4"/>
  <c r="G34" i="4"/>
  <c r="H34" i="4"/>
  <c r="F46" i="4"/>
  <c r="G46" i="4"/>
  <c r="H46" i="4" s="1"/>
  <c r="F70" i="4"/>
  <c r="G70" i="4"/>
  <c r="H70" i="4" s="1"/>
  <c r="G76" i="4"/>
  <c r="H76" i="4" s="1"/>
  <c r="F9" i="3"/>
  <c r="F15" i="3"/>
  <c r="G15" i="3"/>
  <c r="F21" i="3"/>
  <c r="G21" i="3"/>
  <c r="F27" i="3"/>
  <c r="G27" i="3"/>
  <c r="F33" i="3"/>
  <c r="G33" i="3"/>
  <c r="F45" i="3"/>
  <c r="G45" i="3"/>
  <c r="F57" i="3"/>
  <c r="G57" i="3"/>
  <c r="F69" i="3"/>
  <c r="G69" i="3"/>
  <c r="F75" i="3"/>
  <c r="G75" i="3"/>
  <c r="G9" i="3"/>
  <c r="B10" i="2"/>
  <c r="C10" i="2"/>
  <c r="D10" i="2"/>
  <c r="D23" i="2" s="1"/>
  <c r="E10" i="2"/>
  <c r="F10" i="2"/>
  <c r="H10" i="2"/>
  <c r="H23" i="2"/>
  <c r="J10" i="2"/>
  <c r="L10" i="2"/>
  <c r="L23" i="2" s="1"/>
  <c r="M10" i="2"/>
  <c r="M23" i="2"/>
  <c r="N10" i="2"/>
  <c r="I21" i="1"/>
  <c r="M21" i="1"/>
  <c r="K25" i="1"/>
  <c r="D31" i="2"/>
  <c r="D44" i="2" s="1"/>
  <c r="L85" i="1"/>
  <c r="K85" i="1"/>
  <c r="K43" i="1"/>
  <c r="I43" i="1" s="1"/>
  <c r="M43" i="1"/>
  <c r="K73" i="1"/>
  <c r="M73" i="1" s="1"/>
  <c r="I73" i="1"/>
  <c r="G26" i="4"/>
  <c r="H26" i="4" s="1"/>
  <c r="H45" i="1"/>
  <c r="H63" i="1"/>
  <c r="H15" i="1"/>
  <c r="G37" i="1"/>
  <c r="H69" i="1"/>
  <c r="H21" i="1"/>
  <c r="J57" i="1"/>
  <c r="F25" i="1"/>
  <c r="J25" i="1" s="1"/>
  <c r="G31" i="1"/>
  <c r="F73" i="1"/>
  <c r="H73" i="1" s="1"/>
  <c r="J27" i="1"/>
  <c r="G73" i="1"/>
  <c r="G79" i="1"/>
  <c r="G61" i="1"/>
  <c r="F90" i="4"/>
  <c r="E88" i="5"/>
  <c r="G67" i="3"/>
  <c r="F19" i="3"/>
  <c r="F13" i="3"/>
  <c r="G89" i="3"/>
  <c r="M85" i="1"/>
  <c r="I67" i="1"/>
  <c r="J45" i="1"/>
  <c r="I89" i="1"/>
  <c r="H39" i="1"/>
  <c r="J39" i="1"/>
  <c r="M89" i="1"/>
  <c r="E31" i="1"/>
  <c r="I25" i="1"/>
  <c r="F32" i="4"/>
  <c r="F20" i="4"/>
  <c r="F31" i="3"/>
  <c r="G61" i="3"/>
  <c r="G31" i="3"/>
  <c r="I85" i="1"/>
  <c r="I79" i="1"/>
  <c r="E79" i="1"/>
  <c r="E73" i="1"/>
  <c r="E49" i="1"/>
  <c r="E37" i="1"/>
  <c r="I31" i="1"/>
  <c r="I19" i="1"/>
  <c r="E13" i="1"/>
  <c r="I13" i="1"/>
  <c r="C87" i="1"/>
  <c r="G23" i="2"/>
  <c r="F44" i="2"/>
  <c r="E23" i="2"/>
  <c r="L44" i="2"/>
  <c r="I23" i="2"/>
  <c r="C23" i="2"/>
  <c r="E44" i="2"/>
  <c r="J23" i="2"/>
  <c r="N23" i="2"/>
  <c r="O10" i="2"/>
  <c r="O23" i="2" s="1"/>
  <c r="F87" i="3" l="1"/>
  <c r="G87" i="3"/>
  <c r="F88" i="4"/>
  <c r="G88" i="4"/>
  <c r="H88" i="4" s="1"/>
  <c r="J79" i="1"/>
  <c r="H79" i="1"/>
  <c r="E87" i="1"/>
  <c r="F31" i="1"/>
  <c r="B44" i="2"/>
  <c r="H16" i="1"/>
  <c r="F43" i="1"/>
  <c r="H43" i="1" s="1"/>
  <c r="H65" i="1"/>
  <c r="H17" i="1"/>
  <c r="H29" i="1"/>
  <c r="I55" i="1"/>
  <c r="O33" i="2"/>
  <c r="O44" i="2" s="1"/>
  <c r="M55" i="1"/>
  <c r="G14" i="4"/>
  <c r="H14" i="4" s="1"/>
  <c r="G55" i="1"/>
  <c r="F56" i="4"/>
  <c r="G85" i="1"/>
  <c r="G87" i="1" s="1"/>
  <c r="F13" i="1"/>
  <c r="H13" i="1" s="1"/>
  <c r="H47" i="1"/>
  <c r="H77" i="1"/>
  <c r="K87" i="1"/>
  <c r="H75" i="1"/>
  <c r="J13" i="1"/>
  <c r="F37" i="1"/>
  <c r="H37" i="1" s="1"/>
  <c r="H33" i="1"/>
  <c r="I37" i="1"/>
  <c r="M61" i="1"/>
  <c r="H9" i="1"/>
  <c r="H57" i="1"/>
  <c r="F85" i="1"/>
  <c r="H10" i="1"/>
  <c r="H34" i="1"/>
  <c r="J17" i="1"/>
  <c r="F80" i="4"/>
  <c r="H52" i="1"/>
  <c r="H76" i="1"/>
  <c r="H59" i="1"/>
  <c r="F89" i="1"/>
  <c r="H89" i="1" s="1"/>
  <c r="G50" i="4"/>
  <c r="H50" i="4" s="1"/>
  <c r="H46" i="1"/>
  <c r="J19" i="1"/>
  <c r="J43" i="1"/>
  <c r="E88" i="4"/>
  <c r="G85" i="3"/>
  <c r="F62" i="4"/>
  <c r="F55" i="1"/>
  <c r="J55" i="1" s="1"/>
  <c r="J61" i="1"/>
  <c r="J73" i="1"/>
  <c r="F49" i="1"/>
  <c r="H41" i="1"/>
  <c r="H25" i="1"/>
  <c r="H31" i="1" l="1"/>
  <c r="J31" i="1"/>
  <c r="H55" i="1"/>
  <c r="H49" i="1"/>
  <c r="J49" i="1"/>
  <c r="J89" i="1"/>
  <c r="M87" i="1"/>
  <c r="I87" i="1"/>
  <c r="J37" i="1"/>
  <c r="H85" i="1"/>
  <c r="F87" i="1"/>
  <c r="H87" i="1" s="1"/>
  <c r="J85" i="1"/>
  <c r="J87" i="1" l="1"/>
</calcChain>
</file>

<file path=xl/sharedStrings.xml><?xml version="1.0" encoding="utf-8"?>
<sst xmlns="http://schemas.openxmlformats.org/spreadsheetml/2006/main" count="241" uniqueCount="77">
  <si>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</si>
  <si>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</si>
  <si>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</si>
  <si>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</si>
  <si>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</si>
  <si>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</si>
  <si>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</si>
  <si>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</si>
  <si>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</si>
  <si>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</si>
  <si>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</si>
  <si>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</si>
  <si>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</si>
  <si>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</si>
  <si>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</si>
  <si>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</si>
  <si>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</si>
  <si>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</si>
  <si>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</si>
  <si>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</si>
  <si>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</si>
  <si>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</si>
  <si>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</si>
  <si>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</si>
  <si>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</si>
  <si>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</si>
  <si>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</si>
  <si>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</si>
  <si>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</si>
  <si>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</si>
  <si>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</si>
  <si>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</si>
  <si>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</si>
  <si>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</si>
  <si>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</si>
  <si>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</si>
  <si>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</si>
  <si>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</si>
  <si>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</si>
  <si>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</si>
  <si>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</si>
  <si>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</si>
  <si>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</si>
  <si>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</si>
  <si>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</si>
  <si>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</si>
  <si>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</si>
  <si>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</si>
  <si>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</si>
  <si>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</si>
  <si>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</si>
  <si>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</si>
  <si>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LUMIERE PLACE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</si>
  <si>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</si>
  <si>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</si>
  <si>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</si>
  <si>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</si>
  <si>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</si>
  <si>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</si>
  <si>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</si>
  <si>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 xml:space="preserve">LUMIERE PLACE </t>
  </si>
  <si>
    <t>HYBRID TABLES</t>
  </si>
  <si>
    <t xml:space="preserve">FISCAL 2021 YTD ADMISSIONS, PATRONS AND AGR SUMMARY </t>
  </si>
  <si>
    <t>HARRAHS KC</t>
  </si>
  <si>
    <t xml:space="preserve">CENTURY- CAPE </t>
  </si>
  <si>
    <t>CENTURY-CARUTHERSVILLE</t>
  </si>
  <si>
    <t>CASINO KC</t>
  </si>
  <si>
    <t>CENTURY - CAPE</t>
  </si>
  <si>
    <t>CENTURY-CAPE</t>
  </si>
  <si>
    <t>HYBRID</t>
  </si>
  <si>
    <t>HYBRID WIN</t>
  </si>
  <si>
    <t>MONTH ENDED:  SEPTEMBER 30, 2020</t>
  </si>
  <si>
    <t>(as reported on the tax remittal database dtd 10/7/20)</t>
  </si>
  <si>
    <t>FOR THE MONTH ENDED:   SEPTEMBER 30, 2020</t>
  </si>
  <si>
    <t>THRU MONTH ENDED:   SEPTEMBER 30, 2020</t>
  </si>
  <si>
    <t>(as reported on the tax remittal database as of 10/7/20)</t>
  </si>
  <si>
    <t>THRU MONTH ENDED:    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</si>
</sst>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89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61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62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71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72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DATE(2020,7,1)</f>
        <v>44013</v>
      </c>
      <c r="C9" s="21">
        <v>188333</v>
      </c>
      <c r="D9" s="22">
        <v>273819</v>
      </c>
      <c r="E9" s="23">
        <f>(+C9-D9)/D9</f>
        <v>-0.31219893433253354</v>
      </c>
      <c r="F9" s="21">
        <f>+C9-87391</f>
        <v>100942</v>
      </c>
      <c r="G9" s="21">
        <f>+D9-121652</f>
        <v>152167</v>
      </c>
      <c r="H9" s="23">
        <f>(+F9-G9)/G9</f>
        <v>-0.33663672149677659</v>
      </c>
      <c r="I9" s="24">
        <f>K9/C9</f>
        <v>72.293304359830728</v>
      </c>
      <c r="J9" s="24">
        <f>K9/F9</f>
        <v>134.88156456182759</v>
      </c>
      <c r="K9" s="21">
        <v>13615214.890000001</v>
      </c>
      <c r="L9" s="21">
        <v>14592883.67</v>
      </c>
      <c r="M9" s="25">
        <f>(+K9-L9)/L9</f>
        <v>-6.6996270381424847E-2</v>
      </c>
      <c r="N9" s="10"/>
      <c r="R9" s="2"/>
    </row>
    <row r="10" spans="1:18" ht="15.75" x14ac:dyDescent="0.25">
      <c r="A10" s="19"/>
      <c r="B10" s="20">
        <f>DATE(2020,8,1)</f>
        <v>44044</v>
      </c>
      <c r="C10" s="21">
        <v>193126</v>
      </c>
      <c r="D10" s="22">
        <v>276880</v>
      </c>
      <c r="E10" s="23">
        <f>(+C10-D10)/D10</f>
        <v>-0.30249205431956083</v>
      </c>
      <c r="F10" s="21">
        <f>+C10-88951</f>
        <v>104175</v>
      </c>
      <c r="G10" s="21">
        <f>+D10-123357</f>
        <v>153523</v>
      </c>
      <c r="H10" s="23">
        <f>(+F10-G10)/G10</f>
        <v>-0.32143717879405692</v>
      </c>
      <c r="I10" s="24">
        <f>K10/C10</f>
        <v>65.366431966695316</v>
      </c>
      <c r="J10" s="24">
        <f>K10/F10</f>
        <v>121.18029796016317</v>
      </c>
      <c r="K10" s="21">
        <v>12623957.539999999</v>
      </c>
      <c r="L10" s="21">
        <v>14502049.98</v>
      </c>
      <c r="M10" s="25">
        <f>(+K10-L10)/L10</f>
        <v>-0.12950530735931179</v>
      </c>
      <c r="N10" s="10"/>
      <c r="R10" s="2"/>
    </row>
    <row r="11" spans="1:18" ht="15.75" x14ac:dyDescent="0.25">
      <c r="A11" s="19"/>
      <c r="B11" s="20">
        <f>DATE(2020,9,1)</f>
        <v>44075</v>
      </c>
      <c r="C11" s="21">
        <v>196754</v>
      </c>
      <c r="D11" s="22">
        <v>254028</v>
      </c>
      <c r="E11" s="23">
        <f>(+C11-D11)/D11</f>
        <v>-0.22546333475049996</v>
      </c>
      <c r="F11" s="21">
        <f>+C11-92272</f>
        <v>104482</v>
      </c>
      <c r="G11" s="21">
        <f>+D11-112781</f>
        <v>141247</v>
      </c>
      <c r="H11" s="23">
        <f>(+F11-G11)/G11</f>
        <v>-0.26028871409658261</v>
      </c>
      <c r="I11" s="24">
        <f>K11/C11</f>
        <v>63.171506500503163</v>
      </c>
      <c r="J11" s="24">
        <f>K11/F11</f>
        <v>118.96064958557454</v>
      </c>
      <c r="K11" s="21">
        <v>12429246.59</v>
      </c>
      <c r="L11" s="21">
        <v>12773890.380000001</v>
      </c>
      <c r="M11" s="25">
        <f>(+K11-L11)/L11</f>
        <v>-2.6980330952237352E-2</v>
      </c>
      <c r="N11" s="10"/>
      <c r="R11" s="2"/>
    </row>
    <row r="12" spans="1:18" ht="15.75" customHeight="1" thickBot="1" x14ac:dyDescent="0.3">
      <c r="A12" s="19"/>
      <c r="B12" s="20"/>
      <c r="C12" s="21"/>
      <c r="D12" s="21"/>
      <c r="E12" s="23"/>
      <c r="F12" s="21"/>
      <c r="G12" s="21"/>
      <c r="H12" s="23"/>
      <c r="I12" s="24"/>
      <c r="J12" s="24"/>
      <c r="K12" s="21"/>
      <c r="L12" s="21"/>
      <c r="M12" s="25"/>
      <c r="N12" s="10"/>
      <c r="R12" s="2"/>
    </row>
    <row r="13" spans="1:18" ht="17.25" thickTop="1" thickBot="1" x14ac:dyDescent="0.3">
      <c r="A13" s="26" t="s">
        <v>14</v>
      </c>
      <c r="B13" s="27"/>
      <c r="C13" s="28">
        <f>SUM(C9:C12)</f>
        <v>578213</v>
      </c>
      <c r="D13" s="28">
        <f>SUM(D9:D12)</f>
        <v>804727</v>
      </c>
      <c r="E13" s="279">
        <f>(+C13-D13)/D13</f>
        <v>-0.28147930913216535</v>
      </c>
      <c r="F13" s="28">
        <f>SUM(F9:F12)</f>
        <v>309599</v>
      </c>
      <c r="G13" s="28">
        <f>SUM(G9:G12)</f>
        <v>446937</v>
      </c>
      <c r="H13" s="30">
        <f>(+F13-G13)/G13</f>
        <v>-0.30728715680286034</v>
      </c>
      <c r="I13" s="31">
        <f>K13/C13</f>
        <v>66.875734409292065</v>
      </c>
      <c r="J13" s="31">
        <f>K13/F13</f>
        <v>124.89839766924311</v>
      </c>
      <c r="K13" s="28">
        <f>SUM(K9:K12)</f>
        <v>38668419.019999996</v>
      </c>
      <c r="L13" s="28">
        <f>SUM(L9:L12)</f>
        <v>41868824.030000001</v>
      </c>
      <c r="M13" s="32">
        <f>(+K13-L13)/L13</f>
        <v>-7.6438855978062326E-2</v>
      </c>
      <c r="N13" s="10"/>
      <c r="R13" s="2"/>
    </row>
    <row r="14" spans="1:18" ht="15.75" customHeight="1" thickTop="1" x14ac:dyDescent="0.25">
      <c r="A14" s="15"/>
      <c r="B14" s="16"/>
      <c r="C14" s="16"/>
      <c r="D14" s="16"/>
      <c r="E14" s="17"/>
      <c r="F14" s="16"/>
      <c r="G14" s="16"/>
      <c r="H14" s="17"/>
      <c r="I14" s="16"/>
      <c r="J14" s="16"/>
      <c r="K14" s="195"/>
      <c r="L14" s="195"/>
      <c r="M14" s="18"/>
      <c r="N14" s="10"/>
      <c r="R14" s="2"/>
    </row>
    <row r="15" spans="1:18" ht="15.75" x14ac:dyDescent="0.25">
      <c r="A15" s="19" t="s">
        <v>15</v>
      </c>
      <c r="B15" s="20">
        <f>DATE(2020,7,1)</f>
        <v>44013</v>
      </c>
      <c r="C15" s="21">
        <v>79471</v>
      </c>
      <c r="D15" s="21">
        <v>128877</v>
      </c>
      <c r="E15" s="23">
        <f>(+C15-D15)/D15</f>
        <v>-0.38335777524306119</v>
      </c>
      <c r="F15" s="21">
        <f>+C15-38596</f>
        <v>40875</v>
      </c>
      <c r="G15" s="21">
        <f>+D15-61988</f>
        <v>66889</v>
      </c>
      <c r="H15" s="23">
        <f>(+F15-G15)/G15</f>
        <v>-0.38891297522761592</v>
      </c>
      <c r="I15" s="24">
        <f>K15/C15</f>
        <v>70.633539655975142</v>
      </c>
      <c r="J15" s="24">
        <f>K15/F15</f>
        <v>137.32888146788991</v>
      </c>
      <c r="K15" s="21">
        <v>5613318.0300000003</v>
      </c>
      <c r="L15" s="21">
        <v>6965970.8300000001</v>
      </c>
      <c r="M15" s="25">
        <f>(+K15-L15)/L15</f>
        <v>-0.19418008386922858</v>
      </c>
      <c r="N15" s="10"/>
      <c r="R15" s="2"/>
    </row>
    <row r="16" spans="1:18" ht="15.75" x14ac:dyDescent="0.25">
      <c r="A16" s="19"/>
      <c r="B16" s="20">
        <f>DATE(2020,8,1)</f>
        <v>44044</v>
      </c>
      <c r="C16" s="21">
        <v>88234</v>
      </c>
      <c r="D16" s="21">
        <v>130133</v>
      </c>
      <c r="E16" s="23">
        <f>(+C16-D16)/D16</f>
        <v>-0.32197059930993677</v>
      </c>
      <c r="F16" s="21">
        <f>+C16-41802</f>
        <v>46432</v>
      </c>
      <c r="G16" s="21">
        <f>+D16-62200</f>
        <v>67933</v>
      </c>
      <c r="H16" s="23">
        <f>(+F16-G16)/G16</f>
        <v>-0.31650302503937705</v>
      </c>
      <c r="I16" s="24">
        <f>K16/C16</f>
        <v>67.939255049074063</v>
      </c>
      <c r="J16" s="24">
        <f>K16/F16</f>
        <v>129.10389881977946</v>
      </c>
      <c r="K16" s="21">
        <v>5994552.2300000004</v>
      </c>
      <c r="L16" s="21">
        <v>6966409.8499999996</v>
      </c>
      <c r="M16" s="25">
        <f>(+K16-L16)/L16</f>
        <v>-0.13950623648707652</v>
      </c>
      <c r="N16" s="10"/>
      <c r="R16" s="2"/>
    </row>
    <row r="17" spans="1:18" ht="15.75" x14ac:dyDescent="0.25">
      <c r="A17" s="19"/>
      <c r="B17" s="20">
        <f>DATE(2020,9,1)</f>
        <v>44075</v>
      </c>
      <c r="C17" s="21">
        <v>90948</v>
      </c>
      <c r="D17" s="21">
        <v>118251</v>
      </c>
      <c r="E17" s="23">
        <f>(+C17-D17)/D17</f>
        <v>-0.23089022502980946</v>
      </c>
      <c r="F17" s="21">
        <f>+C17-42310</f>
        <v>48638</v>
      </c>
      <c r="G17" s="21">
        <f>+D17-55723</f>
        <v>62528</v>
      </c>
      <c r="H17" s="23">
        <f>(+F17-G17)/G17</f>
        <v>-0.22214048106448311</v>
      </c>
      <c r="I17" s="24">
        <f>K17/C17</f>
        <v>64.968384791309319</v>
      </c>
      <c r="J17" s="24">
        <f>K17/F17</f>
        <v>121.48412064640816</v>
      </c>
      <c r="K17" s="21">
        <v>5908744.6600000001</v>
      </c>
      <c r="L17" s="21">
        <v>6414760.5999999996</v>
      </c>
      <c r="M17" s="25">
        <f>(+K17-L17)/L17</f>
        <v>-7.8883059174491954E-2</v>
      </c>
      <c r="N17" s="10"/>
      <c r="R17" s="2"/>
    </row>
    <row r="18" spans="1:18" ht="15.75" customHeight="1" thickBot="1" x14ac:dyDescent="0.3">
      <c r="A18" s="19"/>
      <c r="B18" s="20"/>
      <c r="C18" s="21"/>
      <c r="D18" s="21"/>
      <c r="E18" s="23"/>
      <c r="F18" s="21"/>
      <c r="G18" s="21"/>
      <c r="H18" s="23"/>
      <c r="I18" s="24"/>
      <c r="J18" s="24"/>
      <c r="K18" s="21"/>
      <c r="L18" s="21"/>
      <c r="M18" s="25"/>
      <c r="N18" s="10"/>
      <c r="R18" s="2"/>
    </row>
    <row r="19" spans="1:18" ht="17.25" customHeight="1" thickTop="1" thickBot="1" x14ac:dyDescent="0.3">
      <c r="A19" s="26" t="s">
        <v>14</v>
      </c>
      <c r="B19" s="27"/>
      <c r="C19" s="28">
        <f>SUM(C15:C18)</f>
        <v>258653</v>
      </c>
      <c r="D19" s="28">
        <f>SUM(D15:D18)</f>
        <v>377261</v>
      </c>
      <c r="E19" s="279">
        <f>(+C19-D19)/D19</f>
        <v>-0.31439242328255507</v>
      </c>
      <c r="F19" s="28">
        <f>SUM(F15:F18)</f>
        <v>135945</v>
      </c>
      <c r="G19" s="28">
        <f>SUM(G15:G18)</f>
        <v>197350</v>
      </c>
      <c r="H19" s="30">
        <f>(+F19-G19)/G19</f>
        <v>-0.31114770711933115</v>
      </c>
      <c r="I19" s="31">
        <f>K19/C19</f>
        <v>67.722450232550955</v>
      </c>
      <c r="J19" s="31">
        <f>K19/F19</f>
        <v>128.85074787597927</v>
      </c>
      <c r="K19" s="28">
        <f>SUM(K15:K18)</f>
        <v>17516614.920000002</v>
      </c>
      <c r="L19" s="28">
        <f>SUM(L15:L18)</f>
        <v>20347141.280000001</v>
      </c>
      <c r="M19" s="32">
        <f>(+K19-L19)/L19</f>
        <v>-0.1391117465126285</v>
      </c>
      <c r="N19" s="10"/>
      <c r="R19" s="2"/>
    </row>
    <row r="20" spans="1:18" ht="15.75" customHeight="1" thickTop="1" x14ac:dyDescent="0.25">
      <c r="A20" s="33"/>
      <c r="B20" s="34"/>
      <c r="C20" s="35"/>
      <c r="D20" s="35"/>
      <c r="E20" s="29"/>
      <c r="F20" s="35"/>
      <c r="G20" s="35"/>
      <c r="H20" s="29"/>
      <c r="I20" s="36"/>
      <c r="J20" s="36"/>
      <c r="K20" s="35"/>
      <c r="L20" s="35"/>
      <c r="M20" s="37"/>
      <c r="N20" s="10"/>
      <c r="R20" s="2"/>
    </row>
    <row r="21" spans="1:18" ht="15.75" customHeight="1" x14ac:dyDescent="0.25">
      <c r="A21" s="19" t="s">
        <v>65</v>
      </c>
      <c r="B21" s="20">
        <f>DATE(2020,7,1)</f>
        <v>44013</v>
      </c>
      <c r="C21" s="21">
        <v>53105</v>
      </c>
      <c r="D21" s="21">
        <v>66822</v>
      </c>
      <c r="E21" s="23">
        <f>(+C21-D21)/D21</f>
        <v>-0.20527670527670527</v>
      </c>
      <c r="F21" s="21">
        <f>+C21-28880</f>
        <v>24225</v>
      </c>
      <c r="G21" s="21">
        <f>+D21-35692</f>
        <v>31130</v>
      </c>
      <c r="H21" s="23">
        <f>(+F21-G21)/G21</f>
        <v>-0.22181175714744619</v>
      </c>
      <c r="I21" s="24">
        <f>K21/C21</f>
        <v>65.300001883061867</v>
      </c>
      <c r="J21" s="24">
        <f>K21/F21</f>
        <v>143.14784726522188</v>
      </c>
      <c r="K21" s="21">
        <v>3467756.6</v>
      </c>
      <c r="L21" s="21">
        <v>3260452.77</v>
      </c>
      <c r="M21" s="25">
        <f>(+K21-L21)/L21</f>
        <v>6.3581301317240088E-2</v>
      </c>
      <c r="N21" s="10"/>
      <c r="R21" s="2"/>
    </row>
    <row r="22" spans="1:18" ht="15.75" customHeight="1" x14ac:dyDescent="0.25">
      <c r="A22" s="19"/>
      <c r="B22" s="20">
        <f>DATE(2020,8,1)</f>
        <v>44044</v>
      </c>
      <c r="C22" s="21">
        <v>52610</v>
      </c>
      <c r="D22" s="21">
        <v>69025</v>
      </c>
      <c r="E22" s="23">
        <f>(+C22-D22)/D22</f>
        <v>-0.23781238681637087</v>
      </c>
      <c r="F22" s="21">
        <f>+C22-28661</f>
        <v>23949</v>
      </c>
      <c r="G22" s="21">
        <f>+D22-37871</f>
        <v>31154</v>
      </c>
      <c r="H22" s="23">
        <f>(+F22-G22)/G22</f>
        <v>-0.2312704628619118</v>
      </c>
      <c r="I22" s="24">
        <f>K22/C22</f>
        <v>62.65578787302794</v>
      </c>
      <c r="J22" s="24">
        <f>K22/F22</f>
        <v>137.6391916155163</v>
      </c>
      <c r="K22" s="21">
        <v>3296321</v>
      </c>
      <c r="L22" s="21">
        <v>3222586.84</v>
      </c>
      <c r="M22" s="25">
        <f>(+K22-L22)/L22</f>
        <v>2.2880426086516307E-2</v>
      </c>
      <c r="N22" s="10"/>
      <c r="R22" s="2"/>
    </row>
    <row r="23" spans="1:18" ht="15.75" customHeight="1" x14ac:dyDescent="0.25">
      <c r="A23" s="19"/>
      <c r="B23" s="20">
        <f>DATE(2020,9,1)</f>
        <v>44075</v>
      </c>
      <c r="C23" s="21">
        <v>50852</v>
      </c>
      <c r="D23" s="21">
        <v>65573</v>
      </c>
      <c r="E23" s="23">
        <f>(+C23-D23)/D23</f>
        <v>-0.22449788785018224</v>
      </c>
      <c r="F23" s="21">
        <f>+C23-27986</f>
        <v>22866</v>
      </c>
      <c r="G23" s="21">
        <f>+D23-35939</f>
        <v>29634</v>
      </c>
      <c r="H23" s="23">
        <f>(+F23-G23)/G23</f>
        <v>-0.22838631301882972</v>
      </c>
      <c r="I23" s="24">
        <f>K23/C23</f>
        <v>60.968254542594195</v>
      </c>
      <c r="J23" s="24">
        <f>K23/F23</f>
        <v>135.58810810810812</v>
      </c>
      <c r="K23" s="21">
        <v>3100357.68</v>
      </c>
      <c r="L23" s="21">
        <v>3112007.99</v>
      </c>
      <c r="M23" s="25">
        <f>(+K23-L23)/L23</f>
        <v>-3.743663267394135E-3</v>
      </c>
      <c r="N23" s="10"/>
      <c r="R23" s="2"/>
    </row>
    <row r="24" spans="1:18" ht="15.75" customHeight="1" thickBot="1" x14ac:dyDescent="0.25">
      <c r="A24" s="38"/>
      <c r="B24" s="20"/>
      <c r="C24" s="21"/>
      <c r="D24" s="21"/>
      <c r="E24" s="23"/>
      <c r="F24" s="21"/>
      <c r="G24" s="21"/>
      <c r="H24" s="23"/>
      <c r="I24" s="24"/>
      <c r="J24" s="24"/>
      <c r="K24" s="21"/>
      <c r="L24" s="21"/>
      <c r="M24" s="25"/>
      <c r="N24" s="10"/>
      <c r="R24" s="2"/>
    </row>
    <row r="25" spans="1:18" ht="17.25" customHeight="1" thickTop="1" thickBot="1" x14ac:dyDescent="0.3">
      <c r="A25" s="39" t="s">
        <v>14</v>
      </c>
      <c r="B25" s="40"/>
      <c r="C25" s="41">
        <f>SUM(C21:C24)</f>
        <v>156567</v>
      </c>
      <c r="D25" s="41">
        <f>SUM(D21:D24)</f>
        <v>201420</v>
      </c>
      <c r="E25" s="280">
        <f>(+C25-D25)/D25</f>
        <v>-0.22268394399761693</v>
      </c>
      <c r="F25" s="41">
        <f>SUM(F21:F24)</f>
        <v>71040</v>
      </c>
      <c r="G25" s="41">
        <f>SUM(G21:G24)</f>
        <v>91918</v>
      </c>
      <c r="H25" s="42">
        <f>(+F25-G25)/G25</f>
        <v>-0.22713723101024827</v>
      </c>
      <c r="I25" s="43">
        <f>K25/C25</f>
        <v>63.004562136337796</v>
      </c>
      <c r="J25" s="43">
        <f>K25/F25</f>
        <v>138.8574786036036</v>
      </c>
      <c r="K25" s="41">
        <f>SUM(K21:K24)</f>
        <v>9864435.2799999993</v>
      </c>
      <c r="L25" s="41">
        <f>SUM(L21:L24)</f>
        <v>9595047.5999999996</v>
      </c>
      <c r="M25" s="44">
        <f>(+K25-L25)/L25</f>
        <v>2.8075700218516863E-2</v>
      </c>
      <c r="N25" s="10"/>
      <c r="R25" s="2"/>
    </row>
    <row r="26" spans="1:18" ht="15.75" customHeight="1" thickTop="1" x14ac:dyDescent="0.2">
      <c r="A26" s="38"/>
      <c r="B26" s="45"/>
      <c r="C26" s="21"/>
      <c r="D26" s="21"/>
      <c r="E26" s="23"/>
      <c r="F26" s="21"/>
      <c r="G26" s="21"/>
      <c r="H26" s="23"/>
      <c r="I26" s="24"/>
      <c r="J26" s="24"/>
      <c r="K26" s="21"/>
      <c r="L26" s="21"/>
      <c r="M26" s="25"/>
      <c r="N26" s="10"/>
      <c r="R26" s="2"/>
    </row>
    <row r="27" spans="1:18" ht="15.75" customHeight="1" x14ac:dyDescent="0.25">
      <c r="A27" s="177" t="s">
        <v>59</v>
      </c>
      <c r="B27" s="20">
        <f>DATE(2020,7,1)</f>
        <v>44013</v>
      </c>
      <c r="C27" s="21">
        <v>226236</v>
      </c>
      <c r="D27" s="21">
        <v>438217</v>
      </c>
      <c r="E27" s="23">
        <f>(+C27-D27)/D27</f>
        <v>-0.4837352270678682</v>
      </c>
      <c r="F27" s="21">
        <f>+C27-121061</f>
        <v>105175</v>
      </c>
      <c r="G27" s="21">
        <f>+D27-221917</f>
        <v>216300</v>
      </c>
      <c r="H27" s="23">
        <f>(+F27-G27)/G27</f>
        <v>-0.5137540453074434</v>
      </c>
      <c r="I27" s="24">
        <f>K27/C27</f>
        <v>64.441251392351347</v>
      </c>
      <c r="J27" s="24">
        <f>K27/F27</f>
        <v>138.615934870454</v>
      </c>
      <c r="K27" s="21">
        <v>14578930.949999999</v>
      </c>
      <c r="L27" s="21">
        <v>20447041.25</v>
      </c>
      <c r="M27" s="25">
        <f>(+K27-L27)/L27</f>
        <v>-0.28699068135346972</v>
      </c>
      <c r="N27" s="10"/>
      <c r="R27" s="2"/>
    </row>
    <row r="28" spans="1:18" ht="15.75" customHeight="1" x14ac:dyDescent="0.25">
      <c r="A28" s="177"/>
      <c r="B28" s="20">
        <f>DATE(2020,8,1)</f>
        <v>44044</v>
      </c>
      <c r="C28" s="21">
        <v>248866</v>
      </c>
      <c r="D28" s="21">
        <v>437029</v>
      </c>
      <c r="E28" s="23">
        <f>(+C28-D28)/D28</f>
        <v>-0.43055037537554713</v>
      </c>
      <c r="F28" s="21">
        <f>+C28-132898</f>
        <v>115968</v>
      </c>
      <c r="G28" s="21">
        <f>+D28-215022</f>
        <v>222007</v>
      </c>
      <c r="H28" s="23">
        <f>(+F28-G28)/G28</f>
        <v>-0.47763809249257905</v>
      </c>
      <c r="I28" s="24">
        <f>K28/C28</f>
        <v>60.671518688772274</v>
      </c>
      <c r="J28" s="24">
        <f>K28/F28</f>
        <v>130.20038433016003</v>
      </c>
      <c r="K28" s="21">
        <v>15099078.17</v>
      </c>
      <c r="L28" s="21">
        <v>21336857.579999998</v>
      </c>
      <c r="M28" s="25">
        <f>(+K28-L28)/L28</f>
        <v>-0.29234761429194478</v>
      </c>
      <c r="N28" s="10"/>
      <c r="R28" s="2"/>
    </row>
    <row r="29" spans="1:18" ht="15.75" customHeight="1" x14ac:dyDescent="0.25">
      <c r="A29" s="177"/>
      <c r="B29" s="20">
        <f>DATE(2020,9,1)</f>
        <v>44075</v>
      </c>
      <c r="C29" s="21">
        <v>249571</v>
      </c>
      <c r="D29" s="21">
        <v>403849</v>
      </c>
      <c r="E29" s="23">
        <f>(+C29-D29)/D29</f>
        <v>-0.38201902196117854</v>
      </c>
      <c r="F29" s="21">
        <f>+C29-130815</f>
        <v>118756</v>
      </c>
      <c r="G29" s="21">
        <f>+D29-198275</f>
        <v>205574</v>
      </c>
      <c r="H29" s="23">
        <f>(+F29-G29)/G29</f>
        <v>-0.42231994318347649</v>
      </c>
      <c r="I29" s="24">
        <f>K29/C29</f>
        <v>59.832789787274962</v>
      </c>
      <c r="J29" s="24">
        <f>K29/F29</f>
        <v>125.74126090471218</v>
      </c>
      <c r="K29" s="21">
        <v>14932529.18</v>
      </c>
      <c r="L29" s="21">
        <v>18932128.91</v>
      </c>
      <c r="M29" s="25">
        <f>(+K29-L29)/L29</f>
        <v>-0.21125990368084813</v>
      </c>
      <c r="N29" s="10"/>
      <c r="R29" s="2"/>
    </row>
    <row r="30" spans="1:18" ht="15.75" thickBot="1" x14ac:dyDescent="0.25">
      <c r="A30" s="38"/>
      <c r="B30" s="45"/>
      <c r="C30" s="21"/>
      <c r="D30" s="21"/>
      <c r="E30" s="23"/>
      <c r="F30" s="21"/>
      <c r="G30" s="21"/>
      <c r="H30" s="23"/>
      <c r="I30" s="24"/>
      <c r="J30" s="24"/>
      <c r="K30" s="21"/>
      <c r="L30" s="21"/>
      <c r="M30" s="25"/>
      <c r="N30" s="10"/>
      <c r="R30" s="2"/>
    </row>
    <row r="31" spans="1:18" ht="17.25" thickTop="1" thickBot="1" x14ac:dyDescent="0.3">
      <c r="A31" s="39" t="s">
        <v>14</v>
      </c>
      <c r="B31" s="40"/>
      <c r="C31" s="41">
        <f>SUM(C27:C30)</f>
        <v>724673</v>
      </c>
      <c r="D31" s="41">
        <f>SUM(D27:D30)</f>
        <v>1279095</v>
      </c>
      <c r="E31" s="280">
        <f>(+C31-D31)/D31</f>
        <v>-0.43344864924028315</v>
      </c>
      <c r="F31" s="41">
        <f>SUM(F27:F30)</f>
        <v>339899</v>
      </c>
      <c r="G31" s="41">
        <f>SUM(G27:G30)</f>
        <v>643881</v>
      </c>
      <c r="H31" s="42">
        <f>(+F31-G31)/G31</f>
        <v>-0.47210897665873042</v>
      </c>
      <c r="I31" s="43">
        <f>K31/C31</f>
        <v>61.559542441901378</v>
      </c>
      <c r="J31" s="43">
        <f>K31/F31</f>
        <v>131.24645350530599</v>
      </c>
      <c r="K31" s="41">
        <f>SUM(K27:K30)</f>
        <v>44610538.299999997</v>
      </c>
      <c r="L31" s="41">
        <f>SUM(L27:L30)</f>
        <v>60716027.739999995</v>
      </c>
      <c r="M31" s="44">
        <f>(+K31-L31)/L31</f>
        <v>-0.26525927402509614</v>
      </c>
      <c r="N31" s="10"/>
      <c r="R31" s="2"/>
    </row>
    <row r="32" spans="1:18" ht="15.75" thickTop="1" x14ac:dyDescent="0.2">
      <c r="A32" s="38"/>
      <c r="B32" s="45"/>
      <c r="C32" s="21"/>
      <c r="D32" s="21"/>
      <c r="E32" s="23"/>
      <c r="F32" s="21"/>
      <c r="G32" s="21"/>
      <c r="H32" s="23"/>
      <c r="I32" s="24"/>
      <c r="J32" s="24"/>
      <c r="K32" s="21"/>
      <c r="L32" s="21"/>
      <c r="M32" s="25"/>
      <c r="N32" s="10"/>
      <c r="R32" s="2"/>
    </row>
    <row r="33" spans="1:18" ht="15.75" x14ac:dyDescent="0.25">
      <c r="A33" s="19" t="s">
        <v>63</v>
      </c>
      <c r="B33" s="20">
        <f>DATE(2020,7,1)</f>
        <v>44013</v>
      </c>
      <c r="C33" s="21">
        <v>260785</v>
      </c>
      <c r="D33" s="21">
        <v>288759</v>
      </c>
      <c r="E33" s="23">
        <f>(+C33-D33)/D33</f>
        <v>-9.6876634148199706E-2</v>
      </c>
      <c r="F33" s="21">
        <f>+C33-121006</f>
        <v>139779</v>
      </c>
      <c r="G33" s="21">
        <f>+D33-131177</f>
        <v>157582</v>
      </c>
      <c r="H33" s="23">
        <f>(+F33-G33)/G33</f>
        <v>-0.11297610133137033</v>
      </c>
      <c r="I33" s="24">
        <f>K33/C33</f>
        <v>60.581983204555478</v>
      </c>
      <c r="J33" s="24">
        <f>K33/F33</f>
        <v>113.02751121413088</v>
      </c>
      <c r="K33" s="21">
        <v>15798872.49</v>
      </c>
      <c r="L33" s="21">
        <v>14077474.74</v>
      </c>
      <c r="M33" s="25">
        <f>(+K33-L33)/L33</f>
        <v>0.12228029400108162</v>
      </c>
      <c r="N33" s="10"/>
      <c r="R33" s="2"/>
    </row>
    <row r="34" spans="1:18" ht="15.75" x14ac:dyDescent="0.25">
      <c r="A34" s="19"/>
      <c r="B34" s="20">
        <f>DATE(2020,8,1)</f>
        <v>44044</v>
      </c>
      <c r="C34" s="21">
        <v>267898</v>
      </c>
      <c r="D34" s="21">
        <v>292957</v>
      </c>
      <c r="E34" s="23">
        <f>(+C34-D34)/D34</f>
        <v>-8.5538150650095401E-2</v>
      </c>
      <c r="F34" s="21">
        <f>+C34-127416</f>
        <v>140482</v>
      </c>
      <c r="G34" s="21">
        <f>+D34-131852</f>
        <v>161105</v>
      </c>
      <c r="H34" s="23">
        <f>(+F34-G34)/G34</f>
        <v>-0.12800968312591168</v>
      </c>
      <c r="I34" s="24">
        <f>K34/C34</f>
        <v>58.202557988488159</v>
      </c>
      <c r="J34" s="24">
        <f>K34/F34</f>
        <v>110.99179168861492</v>
      </c>
      <c r="K34" s="21">
        <v>15592348.880000001</v>
      </c>
      <c r="L34" s="21">
        <v>15580367.26</v>
      </c>
      <c r="M34" s="25">
        <f>(+K34-L34)/L34</f>
        <v>7.6902038315629817E-4</v>
      </c>
      <c r="N34" s="10"/>
      <c r="R34" s="2"/>
    </row>
    <row r="35" spans="1:18" ht="15.75" x14ac:dyDescent="0.25">
      <c r="A35" s="19"/>
      <c r="B35" s="20">
        <f>DATE(2020,9,1)</f>
        <v>44075</v>
      </c>
      <c r="C35" s="21">
        <v>245708</v>
      </c>
      <c r="D35" s="21">
        <v>276713</v>
      </c>
      <c r="E35" s="23">
        <f>(+C35-D35)/D35</f>
        <v>-0.11204750047883547</v>
      </c>
      <c r="F35" s="21">
        <f>+C35-116526</f>
        <v>129182</v>
      </c>
      <c r="G35" s="21">
        <f>+D35-125818</f>
        <v>150895</v>
      </c>
      <c r="H35" s="23">
        <f>(+F35-G35)/G35</f>
        <v>-0.1438947612578283</v>
      </c>
      <c r="I35" s="24">
        <f>K35/C35</f>
        <v>59.831929770296455</v>
      </c>
      <c r="J35" s="24">
        <f>K35/F35</f>
        <v>113.802107104705</v>
      </c>
      <c r="K35" s="21">
        <v>14701183.800000001</v>
      </c>
      <c r="L35" s="21">
        <v>14643182.48</v>
      </c>
      <c r="M35" s="25">
        <f>(+K35-L35)/L35</f>
        <v>3.9609777505142654E-3</v>
      </c>
      <c r="N35" s="10"/>
      <c r="R35" s="2"/>
    </row>
    <row r="36" spans="1:18" ht="15.75" thickBot="1" x14ac:dyDescent="0.25">
      <c r="A36" s="38"/>
      <c r="B36" s="20"/>
      <c r="C36" s="21"/>
      <c r="D36" s="21"/>
      <c r="E36" s="23"/>
      <c r="F36" s="21"/>
      <c r="G36" s="21"/>
      <c r="H36" s="23"/>
      <c r="I36" s="24"/>
      <c r="J36" s="24"/>
      <c r="K36" s="21"/>
      <c r="L36" s="21"/>
      <c r="M36" s="25"/>
      <c r="N36" s="10"/>
      <c r="R36" s="2"/>
    </row>
    <row r="37" spans="1:18" ht="17.25" thickTop="1" thickBot="1" x14ac:dyDescent="0.3">
      <c r="A37" s="39" t="s">
        <v>14</v>
      </c>
      <c r="B37" s="40"/>
      <c r="C37" s="41">
        <f>SUM(C33:C36)</f>
        <v>774391</v>
      </c>
      <c r="D37" s="41">
        <f>SUM(D33:D36)</f>
        <v>858429</v>
      </c>
      <c r="E37" s="281">
        <f>(+C37-D37)/D37</f>
        <v>-9.7897438227273315E-2</v>
      </c>
      <c r="F37" s="47">
        <f>SUM(F33:F36)</f>
        <v>409443</v>
      </c>
      <c r="G37" s="48">
        <f>SUM(G33:G36)</f>
        <v>469582</v>
      </c>
      <c r="H37" s="49">
        <f>(+F37-G37)/G37</f>
        <v>-0.12806921900754287</v>
      </c>
      <c r="I37" s="50">
        <f>K37/C37</f>
        <v>59.520843049570566</v>
      </c>
      <c r="J37" s="51">
        <f>K37/F37</f>
        <v>112.57343554536286</v>
      </c>
      <c r="K37" s="48">
        <f>SUM(K33:K36)</f>
        <v>46092405.170000002</v>
      </c>
      <c r="L37" s="47">
        <f>SUM(L33:L36)</f>
        <v>44301024.480000004</v>
      </c>
      <c r="M37" s="44">
        <f>(+K37-L37)/L37</f>
        <v>4.0436552224852693E-2</v>
      </c>
      <c r="N37" s="10"/>
      <c r="R37" s="2"/>
    </row>
    <row r="38" spans="1:18" ht="15.75" customHeight="1" thickTop="1" x14ac:dyDescent="0.25">
      <c r="A38" s="273"/>
      <c r="B38" s="45"/>
      <c r="C38" s="21"/>
      <c r="D38" s="21"/>
      <c r="E38" s="23"/>
      <c r="F38" s="21"/>
      <c r="G38" s="21"/>
      <c r="H38" s="23"/>
      <c r="I38" s="24"/>
      <c r="J38" s="24"/>
      <c r="K38" s="21"/>
      <c r="L38" s="21"/>
      <c r="M38" s="25"/>
      <c r="N38" s="10"/>
      <c r="R38" s="2"/>
    </row>
    <row r="39" spans="1:18" ht="15.75" x14ac:dyDescent="0.25">
      <c r="A39" s="274" t="s">
        <v>64</v>
      </c>
      <c r="B39" s="20">
        <f>DATE(2020,7,1)</f>
        <v>44013</v>
      </c>
      <c r="C39" s="21">
        <v>75978</v>
      </c>
      <c r="D39" s="21">
        <v>110928</v>
      </c>
      <c r="E39" s="23">
        <f>(+C39-D39)/D39</f>
        <v>-0.31506923409779314</v>
      </c>
      <c r="F39" s="21">
        <f>+C39-36462</f>
        <v>39516</v>
      </c>
      <c r="G39" s="21">
        <f>+D39-54910</f>
        <v>56018</v>
      </c>
      <c r="H39" s="23">
        <f>(+F39-G39)/G39</f>
        <v>-0.29458388375165123</v>
      </c>
      <c r="I39" s="24">
        <f>K39/C39</f>
        <v>65.902360814972752</v>
      </c>
      <c r="J39" s="24">
        <f>K39/F39</f>
        <v>126.71144776799272</v>
      </c>
      <c r="K39" s="21">
        <v>5007129.57</v>
      </c>
      <c r="L39" s="21">
        <v>4456959.1900000004</v>
      </c>
      <c r="M39" s="25">
        <f>(+K39-L39)/L39</f>
        <v>0.12344074884831957</v>
      </c>
      <c r="N39" s="10"/>
      <c r="R39" s="2"/>
    </row>
    <row r="40" spans="1:18" ht="15.75" x14ac:dyDescent="0.25">
      <c r="A40" s="274"/>
      <c r="B40" s="20">
        <f>DATE(2020,8,1)</f>
        <v>44044</v>
      </c>
      <c r="C40" s="21">
        <v>75051</v>
      </c>
      <c r="D40" s="21">
        <v>114308</v>
      </c>
      <c r="E40" s="23">
        <f>(+C40-D40)/D40</f>
        <v>-0.34343178080274345</v>
      </c>
      <c r="F40" s="21">
        <f>+C40-37094</f>
        <v>37957</v>
      </c>
      <c r="G40" s="21">
        <f>+D40-54234</f>
        <v>60074</v>
      </c>
      <c r="H40" s="23">
        <f>(+F40-G40)/G40</f>
        <v>-0.36816259946066515</v>
      </c>
      <c r="I40" s="24">
        <f>K40/C40</f>
        <v>66.127390707652125</v>
      </c>
      <c r="J40" s="24">
        <f>K40/F40</f>
        <v>130.75129225175857</v>
      </c>
      <c r="K40" s="21">
        <v>4962926.8</v>
      </c>
      <c r="L40" s="21">
        <v>5215749.95</v>
      </c>
      <c r="M40" s="25">
        <f>(+K40-L40)/L40</f>
        <v>-4.8473019685309177E-2</v>
      </c>
      <c r="N40" s="10"/>
      <c r="R40" s="2"/>
    </row>
    <row r="41" spans="1:18" ht="15.75" x14ac:dyDescent="0.25">
      <c r="A41" s="274"/>
      <c r="B41" s="20">
        <f>DATE(2020,9,1)</f>
        <v>44075</v>
      </c>
      <c r="C41" s="21">
        <v>76058</v>
      </c>
      <c r="D41" s="21">
        <v>108669</v>
      </c>
      <c r="E41" s="23">
        <f>(+C41-D41)/D41</f>
        <v>-0.30009478324085065</v>
      </c>
      <c r="F41" s="21">
        <f>+C41-37383</f>
        <v>38675</v>
      </c>
      <c r="G41" s="21">
        <f>+D41-53294</f>
        <v>55375</v>
      </c>
      <c r="H41" s="23">
        <f>(+F41-G41)/G41</f>
        <v>-0.30158013544018059</v>
      </c>
      <c r="I41" s="24">
        <f>K41/C41</f>
        <v>65.497897131136753</v>
      </c>
      <c r="J41" s="24">
        <f>K41/F41</f>
        <v>128.80773264382674</v>
      </c>
      <c r="K41" s="21">
        <v>4981639.0599999996</v>
      </c>
      <c r="L41" s="21">
        <v>5069628.72</v>
      </c>
      <c r="M41" s="25">
        <f>(+K41-L41)/L41</f>
        <v>-1.7356233534987577E-2</v>
      </c>
      <c r="N41" s="10"/>
      <c r="R41" s="2"/>
    </row>
    <row r="42" spans="1:18" ht="15.75" customHeight="1" thickBot="1" x14ac:dyDescent="0.3">
      <c r="A42" s="19"/>
      <c r="B42" s="20"/>
      <c r="C42" s="21"/>
      <c r="D42" s="21"/>
      <c r="E42" s="23"/>
      <c r="F42" s="21"/>
      <c r="G42" s="21"/>
      <c r="H42" s="23"/>
      <c r="I42" s="24"/>
      <c r="J42" s="24"/>
      <c r="K42" s="21"/>
      <c r="L42" s="21"/>
      <c r="M42" s="25"/>
      <c r="N42" s="10"/>
      <c r="R42" s="2"/>
    </row>
    <row r="43" spans="1:18" ht="17.45" customHeight="1" thickTop="1" thickBot="1" x14ac:dyDescent="0.3">
      <c r="A43" s="39" t="s">
        <v>14</v>
      </c>
      <c r="B43" s="52"/>
      <c r="C43" s="47">
        <f>SUM(C39:C42)</f>
        <v>227087</v>
      </c>
      <c r="D43" s="48">
        <f>SUM(D39:D42)</f>
        <v>333905</v>
      </c>
      <c r="E43" s="281">
        <f>(+C43-D43)/D43</f>
        <v>-0.31990536230364924</v>
      </c>
      <c r="F43" s="48">
        <f>SUM(F39:F42)</f>
        <v>116148</v>
      </c>
      <c r="G43" s="47">
        <f>SUM(G39:G42)</f>
        <v>171467</v>
      </c>
      <c r="H43" s="46">
        <f>(+F43-G43)/G43</f>
        <v>-0.32262184560294399</v>
      </c>
      <c r="I43" s="51">
        <f>K43/C43</f>
        <v>65.841265374063681</v>
      </c>
      <c r="J43" s="50">
        <f>K43/F43</f>
        <v>128.72968479870511</v>
      </c>
      <c r="K43" s="47">
        <f>SUM(K39:K42)</f>
        <v>14951695.43</v>
      </c>
      <c r="L43" s="48">
        <f>SUM(L39:L42)</f>
        <v>14742337.859999999</v>
      </c>
      <c r="M43" s="44">
        <f>(+K43-L43)/L43</f>
        <v>1.420111056931104E-2</v>
      </c>
      <c r="N43" s="10"/>
      <c r="R43" s="2"/>
    </row>
    <row r="44" spans="1:18" ht="15.75" customHeight="1" thickTop="1" x14ac:dyDescent="0.25">
      <c r="A44" s="19"/>
      <c r="B44" s="45"/>
      <c r="C44" s="21"/>
      <c r="D44" s="21"/>
      <c r="E44" s="23"/>
      <c r="F44" s="21"/>
      <c r="G44" s="21"/>
      <c r="H44" s="23"/>
      <c r="I44" s="24"/>
      <c r="J44" s="24"/>
      <c r="K44" s="21"/>
      <c r="L44" s="21"/>
      <c r="M44" s="25"/>
      <c r="N44" s="10"/>
      <c r="R44" s="2"/>
    </row>
    <row r="45" spans="1:18" ht="15.75" x14ac:dyDescent="0.25">
      <c r="A45" s="19" t="s">
        <v>66</v>
      </c>
      <c r="B45" s="20">
        <f>DATE(2020,7,1)</f>
        <v>44013</v>
      </c>
      <c r="C45" s="21">
        <v>89782</v>
      </c>
      <c r="D45" s="21">
        <v>151411</v>
      </c>
      <c r="E45" s="23">
        <f>(+C45-D45)/D45</f>
        <v>-0.40703119324223469</v>
      </c>
      <c r="F45" s="21">
        <f>+C45-42122</f>
        <v>47660</v>
      </c>
      <c r="G45" s="21">
        <f>+D45-71749</f>
        <v>79662</v>
      </c>
      <c r="H45" s="23">
        <f>(+F45-G45)/G45</f>
        <v>-0.40172227661871407</v>
      </c>
      <c r="I45" s="24">
        <f>K45/C45</f>
        <v>50.702396360072171</v>
      </c>
      <c r="J45" s="24">
        <f>K45/F45</f>
        <v>95.513272135963064</v>
      </c>
      <c r="K45" s="21">
        <v>4552162.55</v>
      </c>
      <c r="L45" s="21">
        <v>5243377.2</v>
      </c>
      <c r="M45" s="25">
        <f>(+K45-L45)/L45</f>
        <v>-0.13182623023954873</v>
      </c>
      <c r="N45" s="10"/>
      <c r="R45" s="2"/>
    </row>
    <row r="46" spans="1:18" ht="15.75" x14ac:dyDescent="0.25">
      <c r="A46" s="19"/>
      <c r="B46" s="20">
        <f>DATE(2020,8,1)</f>
        <v>44044</v>
      </c>
      <c r="C46" s="21">
        <v>90766</v>
      </c>
      <c r="D46" s="21">
        <v>153444</v>
      </c>
      <c r="E46" s="23">
        <f>(+C46-D46)/D46</f>
        <v>-0.40847475300435337</v>
      </c>
      <c r="F46" s="21">
        <f>+C46-42451</f>
        <v>48315</v>
      </c>
      <c r="G46" s="21">
        <f>+D46-72860</f>
        <v>80584</v>
      </c>
      <c r="H46" s="23">
        <f>(+F46-G46)/G46</f>
        <v>-0.40043929315993249</v>
      </c>
      <c r="I46" s="24">
        <f>K46/C46</f>
        <v>48.512467223409644</v>
      </c>
      <c r="J46" s="24">
        <f>K46/F46</f>
        <v>91.136967815378242</v>
      </c>
      <c r="K46" s="21">
        <v>4403282.5999999996</v>
      </c>
      <c r="L46" s="21">
        <v>5663787.5</v>
      </c>
      <c r="M46" s="25">
        <f>(+K46-L46)/L46</f>
        <v>-0.22255511881404455</v>
      </c>
      <c r="N46" s="10"/>
      <c r="R46" s="2"/>
    </row>
    <row r="47" spans="1:18" ht="15.75" x14ac:dyDescent="0.25">
      <c r="A47" s="19"/>
      <c r="B47" s="20">
        <f>DATE(2020,9,1)</f>
        <v>44075</v>
      </c>
      <c r="C47" s="21">
        <v>113916</v>
      </c>
      <c r="D47" s="21">
        <v>143049</v>
      </c>
      <c r="E47" s="23">
        <f>(+C47-D47)/D47</f>
        <v>-0.20365748799362457</v>
      </c>
      <c r="F47" s="21">
        <f>+C47-56482</f>
        <v>57434</v>
      </c>
      <c r="G47" s="21">
        <f>+D47-67371</f>
        <v>75678</v>
      </c>
      <c r="H47" s="23">
        <f>(+F47-G47)/G47</f>
        <v>-0.24107402415497239</v>
      </c>
      <c r="I47" s="24">
        <f>K47/C47</f>
        <v>47.018131342392643</v>
      </c>
      <c r="J47" s="24">
        <f>K47/F47</f>
        <v>93.256911411359127</v>
      </c>
      <c r="K47" s="21">
        <v>5356117.45</v>
      </c>
      <c r="L47" s="21">
        <v>5081304.75</v>
      </c>
      <c r="M47" s="25">
        <f>(+K47-L47)/L47</f>
        <v>5.4083097456416131E-2</v>
      </c>
      <c r="N47" s="10"/>
      <c r="R47" s="2"/>
    </row>
    <row r="48" spans="1:18" ht="15.75" customHeight="1" thickBot="1" x14ac:dyDescent="0.3">
      <c r="A48" s="19"/>
      <c r="B48" s="45"/>
      <c r="C48" s="21"/>
      <c r="D48" s="21"/>
      <c r="E48" s="23"/>
      <c r="F48" s="21"/>
      <c r="G48" s="21"/>
      <c r="H48" s="23"/>
      <c r="I48" s="24"/>
      <c r="J48" s="24"/>
      <c r="K48" s="21"/>
      <c r="L48" s="21"/>
      <c r="M48" s="25"/>
      <c r="N48" s="10"/>
      <c r="R48" s="2"/>
    </row>
    <row r="49" spans="1:18" ht="17.45" customHeight="1" thickTop="1" thickBot="1" x14ac:dyDescent="0.3">
      <c r="A49" s="39" t="s">
        <v>14</v>
      </c>
      <c r="B49" s="52"/>
      <c r="C49" s="47">
        <f>SUM(C45:C48)</f>
        <v>294464</v>
      </c>
      <c r="D49" s="48">
        <f>SUM(D45:D48)</f>
        <v>447904</v>
      </c>
      <c r="E49" s="281">
        <f>(+C49-D49)/D49</f>
        <v>-0.34257340858755447</v>
      </c>
      <c r="F49" s="48">
        <f>SUM(F45:F48)</f>
        <v>153409</v>
      </c>
      <c r="G49" s="47">
        <f>SUM(G45:G48)</f>
        <v>235924</v>
      </c>
      <c r="H49" s="53">
        <f>(+F49-G49)/G49</f>
        <v>-0.34975246265746596</v>
      </c>
      <c r="I49" s="51">
        <f>K49/C49</f>
        <v>48.602079031732224</v>
      </c>
      <c r="J49" s="50">
        <f>K49/F49</f>
        <v>93.290241120142866</v>
      </c>
      <c r="K49" s="47">
        <f>SUM(K45:K48)</f>
        <v>14311562.599999998</v>
      </c>
      <c r="L49" s="48">
        <f>SUM(L45:L48)</f>
        <v>15988469.449999999</v>
      </c>
      <c r="M49" s="44">
        <f>(+K49-L49)/L49</f>
        <v>-0.10488226251074968</v>
      </c>
      <c r="N49" s="10"/>
      <c r="R49" s="2"/>
    </row>
    <row r="50" spans="1:18" ht="15.75" customHeight="1" thickTop="1" x14ac:dyDescent="0.25">
      <c r="A50" s="19"/>
      <c r="B50" s="45"/>
      <c r="C50" s="21"/>
      <c r="D50" s="21"/>
      <c r="E50" s="23"/>
      <c r="F50" s="21"/>
      <c r="G50" s="21"/>
      <c r="H50" s="23"/>
      <c r="I50" s="24"/>
      <c r="J50" s="24"/>
      <c r="K50" s="21"/>
      <c r="L50" s="21"/>
      <c r="M50" s="25"/>
      <c r="N50" s="10"/>
      <c r="R50" s="2"/>
    </row>
    <row r="51" spans="1:18" ht="15.75" customHeight="1" x14ac:dyDescent="0.25">
      <c r="A51" s="19" t="s">
        <v>60</v>
      </c>
      <c r="B51" s="20">
        <f>DATE(2020,7,1)</f>
        <v>44013</v>
      </c>
      <c r="C51" s="21">
        <v>198458</v>
      </c>
      <c r="D51" s="21">
        <v>323723</v>
      </c>
      <c r="E51" s="23">
        <f>(+C51-D51)/D51</f>
        <v>-0.38695118975173221</v>
      </c>
      <c r="F51" s="21">
        <f>+C51-91512</f>
        <v>106946</v>
      </c>
      <c r="G51" s="21">
        <f>+D51-139054</f>
        <v>184669</v>
      </c>
      <c r="H51" s="23">
        <f>(+F51-G51)/G51</f>
        <v>-0.42087735353524414</v>
      </c>
      <c r="I51" s="24">
        <f>K51/C51</f>
        <v>57.559684013745979</v>
      </c>
      <c r="J51" s="24">
        <f>K51/F51</f>
        <v>106.81259486095786</v>
      </c>
      <c r="K51" s="21">
        <v>11423179.77</v>
      </c>
      <c r="L51" s="21">
        <v>12562489.76</v>
      </c>
      <c r="M51" s="25">
        <f>(+K51-L51)/L51</f>
        <v>-9.0691416412346612E-2</v>
      </c>
      <c r="N51" s="10"/>
      <c r="R51" s="2"/>
    </row>
    <row r="52" spans="1:18" ht="15.75" customHeight="1" x14ac:dyDescent="0.25">
      <c r="A52" s="19"/>
      <c r="B52" s="20">
        <f>DATE(2020,8,1)</f>
        <v>44044</v>
      </c>
      <c r="C52" s="21">
        <v>207170</v>
      </c>
      <c r="D52" s="21">
        <v>324702</v>
      </c>
      <c r="E52" s="23">
        <f>(+C52-D52)/D52</f>
        <v>-0.36196882064169605</v>
      </c>
      <c r="F52" s="21">
        <f>+C52-94983</f>
        <v>112187</v>
      </c>
      <c r="G52" s="21">
        <f>+D52-140464</f>
        <v>184238</v>
      </c>
      <c r="H52" s="23">
        <f>(+F52-G52)/G52</f>
        <v>-0.39107567385664194</v>
      </c>
      <c r="I52" s="24">
        <f>K52/C52</f>
        <v>58.301137906067481</v>
      </c>
      <c r="J52" s="24">
        <f>K52/F52</f>
        <v>107.66173210799826</v>
      </c>
      <c r="K52" s="21">
        <v>12078246.74</v>
      </c>
      <c r="L52" s="21">
        <v>12914541.609999999</v>
      </c>
      <c r="M52" s="25">
        <f>(+K52-L52)/L52</f>
        <v>-6.4756062991228325E-2</v>
      </c>
      <c r="N52" s="10"/>
      <c r="R52" s="2"/>
    </row>
    <row r="53" spans="1:18" ht="15.75" customHeight="1" x14ac:dyDescent="0.25">
      <c r="A53" s="19"/>
      <c r="B53" s="20">
        <f>DATE(2020,9,1)</f>
        <v>44075</v>
      </c>
      <c r="C53" s="21">
        <v>214569</v>
      </c>
      <c r="D53" s="21">
        <v>300779</v>
      </c>
      <c r="E53" s="23">
        <f>(+C53-D53)/D53</f>
        <v>-0.28662240382473508</v>
      </c>
      <c r="F53" s="21">
        <f>+C53-98318</f>
        <v>116251</v>
      </c>
      <c r="G53" s="21">
        <f>+D53-129539</f>
        <v>171240</v>
      </c>
      <c r="H53" s="23">
        <f>(+F53-G53)/G53</f>
        <v>-0.3211224013081056</v>
      </c>
      <c r="I53" s="24">
        <f>K53/C53</f>
        <v>53.78051834141931</v>
      </c>
      <c r="J53" s="24">
        <f>K53/F53</f>
        <v>99.264798066253192</v>
      </c>
      <c r="K53" s="21">
        <v>11539632.039999999</v>
      </c>
      <c r="L53" s="21">
        <v>12290273.1</v>
      </c>
      <c r="M53" s="25">
        <f>(+K53-L53)/L53</f>
        <v>-6.107602767590254E-2</v>
      </c>
      <c r="N53" s="10"/>
      <c r="R53" s="2"/>
    </row>
    <row r="54" spans="1:18" ht="15.75" customHeight="1" thickBot="1" x14ac:dyDescent="0.3">
      <c r="A54" s="19"/>
      <c r="B54" s="45"/>
      <c r="C54" s="21"/>
      <c r="D54" s="21"/>
      <c r="E54" s="23"/>
      <c r="F54" s="21"/>
      <c r="G54" s="21"/>
      <c r="H54" s="23"/>
      <c r="I54" s="24"/>
      <c r="J54" s="24"/>
      <c r="K54" s="21"/>
      <c r="L54" s="21"/>
      <c r="M54" s="25"/>
      <c r="N54" s="10"/>
      <c r="R54" s="2"/>
    </row>
    <row r="55" spans="1:18" ht="17.25" thickTop="1" thickBot="1" x14ac:dyDescent="0.3">
      <c r="A55" s="39" t="s">
        <v>14</v>
      </c>
      <c r="B55" s="40"/>
      <c r="C55" s="41">
        <f>SUM(C51:C54)</f>
        <v>620197</v>
      </c>
      <c r="D55" s="41">
        <f>SUM(D51:D54)</f>
        <v>949204</v>
      </c>
      <c r="E55" s="280">
        <f>(+C55-D55)/D55</f>
        <v>-0.34661358359214667</v>
      </c>
      <c r="F55" s="41">
        <f>SUM(F51:F54)</f>
        <v>335384</v>
      </c>
      <c r="G55" s="41">
        <f>SUM(G51:G54)</f>
        <v>540147</v>
      </c>
      <c r="H55" s="42">
        <f>(+F55-G55)/G55</f>
        <v>-0.37908754468690931</v>
      </c>
      <c r="I55" s="43">
        <f>K55/C55</f>
        <v>56.499883988474622</v>
      </c>
      <c r="J55" s="43">
        <f>K55/F55</f>
        <v>104.48041215442596</v>
      </c>
      <c r="K55" s="41">
        <f>SUM(K51:K54)</f>
        <v>35041058.549999997</v>
      </c>
      <c r="L55" s="41">
        <f>SUM(L51:L54)</f>
        <v>37767304.469999999</v>
      </c>
      <c r="M55" s="44">
        <f>(+K55-L55)/L55</f>
        <v>-7.2185345453117056E-2</v>
      </c>
      <c r="N55" s="10"/>
      <c r="R55" s="2"/>
    </row>
    <row r="56" spans="1:18" ht="15.75" customHeight="1" thickTop="1" x14ac:dyDescent="0.2">
      <c r="A56" s="54"/>
      <c r="B56" s="55"/>
      <c r="C56" s="55"/>
      <c r="D56" s="55"/>
      <c r="E56" s="56"/>
      <c r="F56" s="55"/>
      <c r="G56" s="55"/>
      <c r="H56" s="56"/>
      <c r="I56" s="55"/>
      <c r="J56" s="55"/>
      <c r="K56" s="196"/>
      <c r="L56" s="196"/>
      <c r="M56" s="57"/>
      <c r="N56" s="10"/>
      <c r="R56" s="2"/>
    </row>
    <row r="57" spans="1:18" ht="15.75" customHeight="1" x14ac:dyDescent="0.25">
      <c r="A57" s="19" t="s">
        <v>16</v>
      </c>
      <c r="B57" s="20">
        <f>DATE(2020,7,1)</f>
        <v>44013</v>
      </c>
      <c r="C57" s="21">
        <v>211471</v>
      </c>
      <c r="D57" s="21">
        <v>366609</v>
      </c>
      <c r="E57" s="23">
        <f>(+C57-D57)/D57</f>
        <v>-0.42317018949343849</v>
      </c>
      <c r="F57" s="21">
        <f>+C57-102848</f>
        <v>108623</v>
      </c>
      <c r="G57" s="21">
        <f>+D57-178251</f>
        <v>188358</v>
      </c>
      <c r="H57" s="23">
        <f>(+F57-G57)/G57</f>
        <v>-0.42331623822720565</v>
      </c>
      <c r="I57" s="24">
        <f>K57/C57</f>
        <v>65.386959015656984</v>
      </c>
      <c r="J57" s="24">
        <f>K57/F57</f>
        <v>127.29758531802656</v>
      </c>
      <c r="K57" s="21">
        <v>13827445.609999999</v>
      </c>
      <c r="L57" s="21">
        <v>15689376.039999999</v>
      </c>
      <c r="M57" s="25">
        <f>(+K57-L57)/L57</f>
        <v>-0.11867460026791478</v>
      </c>
      <c r="N57" s="10"/>
      <c r="R57" s="2"/>
    </row>
    <row r="58" spans="1:18" ht="15.75" customHeight="1" x14ac:dyDescent="0.25">
      <c r="A58" s="19"/>
      <c r="B58" s="20">
        <f>DATE(2020,8,1)</f>
        <v>44044</v>
      </c>
      <c r="C58" s="21">
        <v>225602</v>
      </c>
      <c r="D58" s="21">
        <v>384874</v>
      </c>
      <c r="E58" s="23">
        <f>(+C58-D58)/D58</f>
        <v>-0.41382894141978932</v>
      </c>
      <c r="F58" s="21">
        <f>+C58-110512</f>
        <v>115090</v>
      </c>
      <c r="G58" s="21">
        <f>+D58-186167</f>
        <v>198707</v>
      </c>
      <c r="H58" s="23">
        <f>(+F58-G58)/G58</f>
        <v>-0.42080550760667718</v>
      </c>
      <c r="I58" s="24">
        <f>K58/C58</f>
        <v>63.577825905798704</v>
      </c>
      <c r="J58" s="24">
        <f>K58/F58</f>
        <v>124.62668068468155</v>
      </c>
      <c r="K58" s="21">
        <v>14343284.68</v>
      </c>
      <c r="L58" s="21">
        <v>16597532.279999999</v>
      </c>
      <c r="M58" s="25">
        <f>(+K58-L58)/L58</f>
        <v>-0.13581823863758136</v>
      </c>
      <c r="N58" s="10"/>
      <c r="R58" s="2"/>
    </row>
    <row r="59" spans="1:18" ht="15.75" customHeight="1" x14ac:dyDescent="0.25">
      <c r="A59" s="19"/>
      <c r="B59" s="20">
        <f>DATE(2020,9,1)</f>
        <v>44075</v>
      </c>
      <c r="C59" s="21">
        <v>224827</v>
      </c>
      <c r="D59" s="21">
        <v>348168</v>
      </c>
      <c r="E59" s="23">
        <f>(+C59-D59)/D59</f>
        <v>-0.35425714023115279</v>
      </c>
      <c r="F59" s="21">
        <f>+C59-110393</f>
        <v>114434</v>
      </c>
      <c r="G59" s="21">
        <f>+D59-163347</f>
        <v>184821</v>
      </c>
      <c r="H59" s="23">
        <f>(+F59-G59)/G59</f>
        <v>-0.3808387575005005</v>
      </c>
      <c r="I59" s="24">
        <f>K59/C59</f>
        <v>60.458002019330422</v>
      </c>
      <c r="J59" s="24">
        <f>K59/F59</f>
        <v>118.78105475645351</v>
      </c>
      <c r="K59" s="21">
        <v>13592591.220000001</v>
      </c>
      <c r="L59" s="21">
        <v>15466295.43</v>
      </c>
      <c r="M59" s="25">
        <f>(+K59-L59)/L59</f>
        <v>-0.12114757657904114</v>
      </c>
      <c r="N59" s="10"/>
      <c r="R59" s="2"/>
    </row>
    <row r="60" spans="1:18" ht="15.75" customHeight="1" thickBot="1" x14ac:dyDescent="0.3">
      <c r="A60" s="19"/>
      <c r="B60" s="45"/>
      <c r="C60" s="21"/>
      <c r="D60" s="21"/>
      <c r="E60" s="23"/>
      <c r="F60" s="21"/>
      <c r="G60" s="21"/>
      <c r="H60" s="23"/>
      <c r="I60" s="24"/>
      <c r="J60" s="24"/>
      <c r="K60" s="21"/>
      <c r="L60" s="21"/>
      <c r="M60" s="25"/>
      <c r="N60" s="10"/>
      <c r="R60" s="2"/>
    </row>
    <row r="61" spans="1:18" ht="17.25" thickTop="1" thickBot="1" x14ac:dyDescent="0.3">
      <c r="A61" s="39" t="s">
        <v>14</v>
      </c>
      <c r="B61" s="40"/>
      <c r="C61" s="41">
        <f>SUM(C57:C60)</f>
        <v>661900</v>
      </c>
      <c r="D61" s="41">
        <f>SUM(D57:D60)</f>
        <v>1099651</v>
      </c>
      <c r="E61" s="280">
        <f>(+C61-D61)/D61</f>
        <v>-0.39808175502955029</v>
      </c>
      <c r="F61" s="41">
        <f>SUM(F57:F60)</f>
        <v>338147</v>
      </c>
      <c r="G61" s="41">
        <f>SUM(G57:G60)</f>
        <v>571886</v>
      </c>
      <c r="H61" s="42">
        <f>(+F61-G61)/G61</f>
        <v>-0.40871607278373662</v>
      </c>
      <c r="I61" s="43">
        <f>K61/C61</f>
        <v>63.096119519564887</v>
      </c>
      <c r="J61" s="43">
        <f>K61/F61</f>
        <v>123.50640848506714</v>
      </c>
      <c r="K61" s="41">
        <f>SUM(K57:K60)</f>
        <v>41763321.509999998</v>
      </c>
      <c r="L61" s="41">
        <f>SUM(L57:L60)</f>
        <v>47753203.75</v>
      </c>
      <c r="M61" s="44">
        <f>(+K61-L61)/L61</f>
        <v>-0.12543414409132711</v>
      </c>
      <c r="N61" s="10"/>
      <c r="R61" s="2"/>
    </row>
    <row r="62" spans="1:18" ht="15.75" customHeight="1" thickTop="1" x14ac:dyDescent="0.2">
      <c r="A62" s="54"/>
      <c r="B62" s="55"/>
      <c r="C62" s="55"/>
      <c r="D62" s="55"/>
      <c r="E62" s="56"/>
      <c r="F62" s="55"/>
      <c r="G62" s="55"/>
      <c r="H62" s="56"/>
      <c r="I62" s="55"/>
      <c r="J62" s="55"/>
      <c r="K62" s="196"/>
      <c r="L62" s="196"/>
      <c r="M62" s="57"/>
      <c r="N62" s="10"/>
      <c r="R62" s="2"/>
    </row>
    <row r="63" spans="1:18" ht="15.75" customHeight="1" x14ac:dyDescent="0.25">
      <c r="A63" s="19" t="s">
        <v>54</v>
      </c>
      <c r="B63" s="20">
        <f>DATE(2020,7,1)</f>
        <v>44013</v>
      </c>
      <c r="C63" s="21">
        <v>223492</v>
      </c>
      <c r="D63" s="21">
        <v>420137</v>
      </c>
      <c r="E63" s="23">
        <f>(+C63-D63)/D63</f>
        <v>-0.46804970759537962</v>
      </c>
      <c r="F63" s="21">
        <f>+C63-109534</f>
        <v>113958</v>
      </c>
      <c r="G63" s="21">
        <f>+D63-190250</f>
        <v>229887</v>
      </c>
      <c r="H63" s="23">
        <f>(+F63-G63)/G63</f>
        <v>-0.50428688877578987</v>
      </c>
      <c r="I63" s="24">
        <f>K63/C63</f>
        <v>67.284719274067982</v>
      </c>
      <c r="J63" s="24">
        <f>K63/F63</f>
        <v>131.95735692097088</v>
      </c>
      <c r="K63" s="21">
        <v>15037596.48</v>
      </c>
      <c r="L63" s="21">
        <v>18224766.800000001</v>
      </c>
      <c r="M63" s="25">
        <f>(+K63-L63)/L63</f>
        <v>-0.17488126761654915</v>
      </c>
      <c r="N63" s="10"/>
      <c r="R63" s="2"/>
    </row>
    <row r="64" spans="1:18" ht="15.75" customHeight="1" x14ac:dyDescent="0.25">
      <c r="A64" s="19"/>
      <c r="B64" s="20">
        <f>DATE(2020,8,1)</f>
        <v>44044</v>
      </c>
      <c r="C64" s="21">
        <v>243172</v>
      </c>
      <c r="D64" s="21">
        <v>436427</v>
      </c>
      <c r="E64" s="23">
        <f>(+C64-D64)/D64</f>
        <v>-0.44281174171167226</v>
      </c>
      <c r="F64" s="21">
        <f>+C64-117936</f>
        <v>125236</v>
      </c>
      <c r="G64" s="21">
        <f>+D64-195454</f>
        <v>240973</v>
      </c>
      <c r="H64" s="23">
        <f>(+F64-G64)/G64</f>
        <v>-0.48029032298224283</v>
      </c>
      <c r="I64" s="24">
        <f>K64/C64</f>
        <v>65.264499202210786</v>
      </c>
      <c r="J64" s="24">
        <f>K64/F64</f>
        <v>126.7247341020154</v>
      </c>
      <c r="K64" s="21">
        <v>15870498.800000001</v>
      </c>
      <c r="L64" s="21">
        <v>19518295.300000001</v>
      </c>
      <c r="M64" s="25">
        <f>(+K64-L64)/L64</f>
        <v>-0.18689114207632671</v>
      </c>
      <c r="N64" s="10"/>
      <c r="R64" s="2"/>
    </row>
    <row r="65" spans="1:18" ht="15.75" customHeight="1" x14ac:dyDescent="0.25">
      <c r="A65" s="19"/>
      <c r="B65" s="20">
        <f>DATE(2020,9,1)</f>
        <v>44075</v>
      </c>
      <c r="C65" s="21">
        <v>258989</v>
      </c>
      <c r="D65" s="21">
        <v>419890</v>
      </c>
      <c r="E65" s="23">
        <f>(+C65-D65)/D65</f>
        <v>-0.38319798042344422</v>
      </c>
      <c r="F65" s="21">
        <f>+C65-126754</f>
        <v>132235</v>
      </c>
      <c r="G65" s="21">
        <f>+D65-187135</f>
        <v>232755</v>
      </c>
      <c r="H65" s="23">
        <f>(+F65-G65)/G65</f>
        <v>-0.43187042168804107</v>
      </c>
      <c r="I65" s="24">
        <f>K65/C65</f>
        <v>63.346609122395158</v>
      </c>
      <c r="J65" s="24">
        <f>K65/F65</f>
        <v>124.06756872235036</v>
      </c>
      <c r="K65" s="21">
        <v>16406074.949999999</v>
      </c>
      <c r="L65" s="21">
        <v>18459322.530000001</v>
      </c>
      <c r="M65" s="25">
        <f>(+K65-L65)/L65</f>
        <v>-0.11123092825660714</v>
      </c>
      <c r="N65" s="10"/>
      <c r="R65" s="2"/>
    </row>
    <row r="66" spans="1:18" ht="15.75" customHeight="1" thickBot="1" x14ac:dyDescent="0.3">
      <c r="A66" s="19"/>
      <c r="B66" s="45"/>
      <c r="C66" s="21"/>
      <c r="D66" s="21"/>
      <c r="E66" s="23"/>
      <c r="F66" s="21"/>
      <c r="G66" s="21"/>
      <c r="H66" s="23"/>
      <c r="I66" s="24"/>
      <c r="J66" s="24"/>
      <c r="K66" s="21"/>
      <c r="L66" s="21"/>
      <c r="M66" s="25"/>
      <c r="N66" s="10"/>
      <c r="R66" s="2"/>
    </row>
    <row r="67" spans="1:18" ht="17.25" thickTop="1" thickBot="1" x14ac:dyDescent="0.3">
      <c r="A67" s="39" t="s">
        <v>14</v>
      </c>
      <c r="B67" s="40"/>
      <c r="C67" s="41">
        <f>SUM(C63:C66)</f>
        <v>725653</v>
      </c>
      <c r="D67" s="41">
        <f>SUM(D63:D66)</f>
        <v>1276454</v>
      </c>
      <c r="E67" s="280">
        <f>(+C67-D67)/D67</f>
        <v>-0.4315086951821217</v>
      </c>
      <c r="F67" s="41">
        <f>SUM(F63:F66)</f>
        <v>371429</v>
      </c>
      <c r="G67" s="41">
        <f>SUM(G63:G66)</f>
        <v>703615</v>
      </c>
      <c r="H67" s="42">
        <f>(+F67-G67)/G67</f>
        <v>-0.47211330059762796</v>
      </c>
      <c r="I67" s="43">
        <f>K67/C67</f>
        <v>65.202197510380316</v>
      </c>
      <c r="J67" s="43">
        <f>K67/F67</f>
        <v>127.38415748366445</v>
      </c>
      <c r="K67" s="41">
        <f>SUM(K63:K66)</f>
        <v>47314170.230000004</v>
      </c>
      <c r="L67" s="41">
        <f>SUM(L63:L66)</f>
        <v>56202384.630000003</v>
      </c>
      <c r="M67" s="44">
        <f>(+K67-L67)/L67</f>
        <v>-0.15814657079969524</v>
      </c>
      <c r="N67" s="10"/>
      <c r="R67" s="2"/>
    </row>
    <row r="68" spans="1:18" ht="15.75" customHeight="1" thickTop="1" x14ac:dyDescent="0.2">
      <c r="A68" s="58"/>
      <c r="B68" s="59"/>
      <c r="C68" s="59"/>
      <c r="D68" s="59"/>
      <c r="E68" s="60"/>
      <c r="F68" s="59"/>
      <c r="G68" s="59"/>
      <c r="H68" s="60"/>
      <c r="I68" s="59"/>
      <c r="J68" s="59"/>
      <c r="K68" s="197"/>
      <c r="L68" s="197"/>
      <c r="M68" s="61"/>
      <c r="N68" s="10"/>
      <c r="R68" s="2"/>
    </row>
    <row r="69" spans="1:18" ht="15" customHeight="1" x14ac:dyDescent="0.25">
      <c r="A69" s="19" t="s">
        <v>55</v>
      </c>
      <c r="B69" s="20">
        <f>DATE(2020,7,1)</f>
        <v>44013</v>
      </c>
      <c r="C69" s="21">
        <v>43226</v>
      </c>
      <c r="D69" s="21">
        <v>61327</v>
      </c>
      <c r="E69" s="23">
        <f>(+C69-D69)/D69</f>
        <v>-0.29515547801131636</v>
      </c>
      <c r="F69" s="21">
        <f>+C69-22161</f>
        <v>21065</v>
      </c>
      <c r="G69" s="21">
        <f>+D69-29380</f>
        <v>31947</v>
      </c>
      <c r="H69" s="23">
        <f>(+F69-G69)/G69</f>
        <v>-0.34062666291044541</v>
      </c>
      <c r="I69" s="24">
        <f>K69/C69</f>
        <v>68.785856891685569</v>
      </c>
      <c r="J69" s="24">
        <f>K69/F69</f>
        <v>141.15060289579873</v>
      </c>
      <c r="K69" s="21">
        <v>2973337.45</v>
      </c>
      <c r="L69" s="21">
        <v>2748922.94</v>
      </c>
      <c r="M69" s="25">
        <f>(+K69-L69)/L69</f>
        <v>8.1637250260642169E-2</v>
      </c>
      <c r="N69" s="10"/>
      <c r="R69" s="2"/>
    </row>
    <row r="70" spans="1:18" ht="15" customHeight="1" x14ac:dyDescent="0.25">
      <c r="A70" s="19"/>
      <c r="B70" s="20">
        <f>DATE(2020,8,1)</f>
        <v>44044</v>
      </c>
      <c r="C70" s="21">
        <v>46706</v>
      </c>
      <c r="D70" s="21">
        <v>62887</v>
      </c>
      <c r="E70" s="23">
        <f>(+C70-D70)/D70</f>
        <v>-0.25730278117894001</v>
      </c>
      <c r="F70" s="21">
        <f>+C70-23797</f>
        <v>22909</v>
      </c>
      <c r="G70" s="21">
        <f>+D70-30695</f>
        <v>32192</v>
      </c>
      <c r="H70" s="23">
        <f>(+F70-G70)/G70</f>
        <v>-0.28836356858846918</v>
      </c>
      <c r="I70" s="24">
        <f>K70/C70</f>
        <v>65.788545797113855</v>
      </c>
      <c r="J70" s="24">
        <f>K70/F70</f>
        <v>134.12719106028197</v>
      </c>
      <c r="K70" s="21">
        <v>3072719.82</v>
      </c>
      <c r="L70" s="21">
        <v>2960495.62</v>
      </c>
      <c r="M70" s="25">
        <f>(+K70-L70)/L70</f>
        <v>3.7907233924568254E-2</v>
      </c>
      <c r="N70" s="10"/>
      <c r="R70" s="2"/>
    </row>
    <row r="71" spans="1:18" ht="15" customHeight="1" x14ac:dyDescent="0.25">
      <c r="A71" s="19"/>
      <c r="B71" s="20">
        <f>DATE(2020,9,1)</f>
        <v>44075</v>
      </c>
      <c r="C71" s="21">
        <v>44655</v>
      </c>
      <c r="D71" s="21">
        <v>59108</v>
      </c>
      <c r="E71" s="23">
        <f>(+C71-D71)/D71</f>
        <v>-0.24451850849292819</v>
      </c>
      <c r="F71" s="21">
        <f>+C71-22941</f>
        <v>21714</v>
      </c>
      <c r="G71" s="21">
        <f>+D71-28508</f>
        <v>30600</v>
      </c>
      <c r="H71" s="23">
        <f>(+F71-G71)/G71</f>
        <v>-0.29039215686274511</v>
      </c>
      <c r="I71" s="24">
        <f>K71/C71</f>
        <v>63.064807748292466</v>
      </c>
      <c r="J71" s="24">
        <f>K71/F71</f>
        <v>129.69323892419638</v>
      </c>
      <c r="K71" s="21">
        <v>2816158.99</v>
      </c>
      <c r="L71" s="21">
        <v>2697791.52</v>
      </c>
      <c r="M71" s="25">
        <f>(+K71-L71)/L71</f>
        <v>4.3875692069786108E-2</v>
      </c>
      <c r="N71" s="10"/>
      <c r="R71" s="2"/>
    </row>
    <row r="72" spans="1:18" ht="15.75" thickBot="1" x14ac:dyDescent="0.25">
      <c r="A72" s="38"/>
      <c r="B72" s="20"/>
      <c r="C72" s="21"/>
      <c r="D72" s="21"/>
      <c r="E72" s="23"/>
      <c r="F72" s="21"/>
      <c r="G72" s="21"/>
      <c r="H72" s="23"/>
      <c r="I72" s="24"/>
      <c r="J72" s="24"/>
      <c r="K72" s="21"/>
      <c r="L72" s="21"/>
      <c r="M72" s="25"/>
      <c r="N72" s="10"/>
      <c r="R72" s="2"/>
    </row>
    <row r="73" spans="1:18" ht="17.25" thickTop="1" thickBot="1" x14ac:dyDescent="0.3">
      <c r="A73" s="62" t="s">
        <v>14</v>
      </c>
      <c r="B73" s="52"/>
      <c r="C73" s="48">
        <f>SUM(C69:C72)</f>
        <v>134587</v>
      </c>
      <c r="D73" s="48">
        <f>SUM(D69:D72)</f>
        <v>183322</v>
      </c>
      <c r="E73" s="280">
        <f>(+C73-D73)/D73</f>
        <v>-0.26584370670186885</v>
      </c>
      <c r="F73" s="48">
        <f>SUM(F69:F72)</f>
        <v>65688</v>
      </c>
      <c r="G73" s="48">
        <f>SUM(G69:G72)</f>
        <v>94739</v>
      </c>
      <c r="H73" s="42">
        <f>(+F73-G73)/G73</f>
        <v>-0.30664245981063765</v>
      </c>
      <c r="I73" s="50">
        <f>K73/C73</f>
        <v>65.847490916656142</v>
      </c>
      <c r="J73" s="50">
        <f>K73/F73</f>
        <v>134.91377816343928</v>
      </c>
      <c r="K73" s="48">
        <f>SUM(K69:K72)</f>
        <v>8862216.2599999998</v>
      </c>
      <c r="L73" s="48">
        <f>SUM(L69:L72)</f>
        <v>8407210.0800000001</v>
      </c>
      <c r="M73" s="44">
        <f>(+K73-L73)/L73</f>
        <v>5.4120948051770305E-2</v>
      </c>
      <c r="N73" s="10"/>
      <c r="R73" s="2"/>
    </row>
    <row r="74" spans="1:18" ht="15.75" customHeight="1" thickTop="1" x14ac:dyDescent="0.25">
      <c r="A74" s="19"/>
      <c r="B74" s="45"/>
      <c r="C74" s="21"/>
      <c r="D74" s="21"/>
      <c r="E74" s="23"/>
      <c r="F74" s="21"/>
      <c r="G74" s="21"/>
      <c r="H74" s="23"/>
      <c r="I74" s="24"/>
      <c r="J74" s="24"/>
      <c r="K74" s="21"/>
      <c r="L74" s="21"/>
      <c r="M74" s="25"/>
      <c r="N74" s="10"/>
      <c r="R74" s="2"/>
    </row>
    <row r="75" spans="1:18" ht="15.75" x14ac:dyDescent="0.25">
      <c r="A75" s="19" t="s">
        <v>17</v>
      </c>
      <c r="B75" s="20">
        <f>DATE(2020,7,1)</f>
        <v>44013</v>
      </c>
      <c r="C75" s="21">
        <v>316439</v>
      </c>
      <c r="D75" s="21">
        <v>447474</v>
      </c>
      <c r="E75" s="23">
        <f>(+C75-D75)/D75</f>
        <v>-0.29283265619901938</v>
      </c>
      <c r="F75" s="21">
        <f>+C75-163690</f>
        <v>152749</v>
      </c>
      <c r="G75" s="21">
        <f>+D75-208413</f>
        <v>239061</v>
      </c>
      <c r="H75" s="23">
        <f>(+F75-G75)/G75</f>
        <v>-0.36104592551691828</v>
      </c>
      <c r="I75" s="24">
        <f>K75/C75</f>
        <v>71.817670419891343</v>
      </c>
      <c r="J75" s="24">
        <f>K75/F75</f>
        <v>148.77944739409094</v>
      </c>
      <c r="K75" s="21">
        <v>22725911.809999999</v>
      </c>
      <c r="L75" s="21">
        <v>22798067.890000001</v>
      </c>
      <c r="M75" s="25">
        <f>(+K75-L75)/L75</f>
        <v>-3.1650085589775799E-3</v>
      </c>
      <c r="N75" s="10"/>
      <c r="R75" s="2"/>
    </row>
    <row r="76" spans="1:18" ht="15.75" x14ac:dyDescent="0.25">
      <c r="A76" s="19"/>
      <c r="B76" s="20">
        <f>DATE(2020,8,1)</f>
        <v>44044</v>
      </c>
      <c r="C76" s="21">
        <v>305395</v>
      </c>
      <c r="D76" s="21">
        <v>463395</v>
      </c>
      <c r="E76" s="23">
        <f>(+C76-D76)/D76</f>
        <v>-0.34096181443476947</v>
      </c>
      <c r="F76" s="21">
        <f>+C76-155433</f>
        <v>149962</v>
      </c>
      <c r="G76" s="21">
        <f>+D76-219743</f>
        <v>243652</v>
      </c>
      <c r="H76" s="23">
        <f>(+F76-G76)/G76</f>
        <v>-0.38452382906768667</v>
      </c>
      <c r="I76" s="24">
        <f>K76/C76</f>
        <v>68.028956891894097</v>
      </c>
      <c r="J76" s="24">
        <f>K76/F76</f>
        <v>138.53978534562088</v>
      </c>
      <c r="K76" s="21">
        <v>20775703.289999999</v>
      </c>
      <c r="L76" s="21">
        <v>23200828.350000001</v>
      </c>
      <c r="M76" s="25">
        <f>(+K76-L76)/L76</f>
        <v>-0.10452752045812201</v>
      </c>
      <c r="N76" s="10"/>
      <c r="R76" s="2"/>
    </row>
    <row r="77" spans="1:18" ht="15.75" x14ac:dyDescent="0.25">
      <c r="A77" s="19"/>
      <c r="B77" s="20">
        <f>DATE(2020,9,1)</f>
        <v>44075</v>
      </c>
      <c r="C77" s="21">
        <v>318491</v>
      </c>
      <c r="D77" s="21">
        <v>425892</v>
      </c>
      <c r="E77" s="23">
        <f>(+C77-D77)/D77</f>
        <v>-0.25217895616729125</v>
      </c>
      <c r="F77" s="21">
        <f>+C77-166759</f>
        <v>151732</v>
      </c>
      <c r="G77" s="21">
        <f>+D77-202215</f>
        <v>223677</v>
      </c>
      <c r="H77" s="23">
        <f>(+F77-G77)/G77</f>
        <v>-0.32164683896869145</v>
      </c>
      <c r="I77" s="24">
        <f>K77/C77</f>
        <v>64.043497775447335</v>
      </c>
      <c r="J77" s="24">
        <f>K77/F77</f>
        <v>134.42963679382066</v>
      </c>
      <c r="K77" s="21">
        <v>20397277.649999999</v>
      </c>
      <c r="L77" s="21">
        <v>21530902.170000002</v>
      </c>
      <c r="M77" s="25">
        <f>(+K77-L77)/L77</f>
        <v>-5.2651045973332901E-2</v>
      </c>
      <c r="N77" s="10"/>
      <c r="R77" s="2"/>
    </row>
    <row r="78" spans="1:18" ht="15.75" thickBot="1" x14ac:dyDescent="0.25">
      <c r="A78" s="38"/>
      <c r="B78" s="45"/>
      <c r="C78" s="21"/>
      <c r="D78" s="21"/>
      <c r="E78" s="23"/>
      <c r="F78" s="21"/>
      <c r="G78" s="21"/>
      <c r="H78" s="23"/>
      <c r="I78" s="24"/>
      <c r="J78" s="24"/>
      <c r="K78" s="21"/>
      <c r="L78" s="21"/>
      <c r="M78" s="25"/>
      <c r="N78" s="10"/>
      <c r="R78" s="2"/>
    </row>
    <row r="79" spans="1:18" ht="17.25" thickTop="1" thickBot="1" x14ac:dyDescent="0.3">
      <c r="A79" s="39" t="s">
        <v>14</v>
      </c>
      <c r="B79" s="40"/>
      <c r="C79" s="41">
        <f>SUM(C75:C78)</f>
        <v>940325</v>
      </c>
      <c r="D79" s="41">
        <f>SUM(D75:D78)</f>
        <v>1336761</v>
      </c>
      <c r="E79" s="280">
        <f>(+C79-D79)/D79</f>
        <v>-0.29656460653774308</v>
      </c>
      <c r="F79" s="41">
        <f>SUM(F75:F78)</f>
        <v>454443</v>
      </c>
      <c r="G79" s="41">
        <f>SUM(G75:G78)</f>
        <v>706390</v>
      </c>
      <c r="H79" s="42">
        <f>(+F79-G79)/G79</f>
        <v>-0.35666841263324794</v>
      </c>
      <c r="I79" s="43">
        <f>K79/C79</f>
        <v>67.954050727142203</v>
      </c>
      <c r="J79" s="43">
        <f>K79/F79</f>
        <v>140.60925737661267</v>
      </c>
      <c r="K79" s="41">
        <f>SUM(K75:K78)</f>
        <v>63898892.749999993</v>
      </c>
      <c r="L79" s="41">
        <f>SUM(L75:L78)</f>
        <v>67529798.409999996</v>
      </c>
      <c r="M79" s="44">
        <f>(+K79-L79)/L79</f>
        <v>-5.3767458892078221E-2</v>
      </c>
      <c r="N79" s="10"/>
      <c r="R79" s="2"/>
    </row>
    <row r="80" spans="1:18" ht="15.75" customHeight="1" thickTop="1" x14ac:dyDescent="0.25">
      <c r="A80" s="19"/>
      <c r="B80" s="45"/>
      <c r="C80" s="21"/>
      <c r="D80" s="21"/>
      <c r="E80" s="23"/>
      <c r="F80" s="21"/>
      <c r="G80" s="21"/>
      <c r="H80" s="23"/>
      <c r="I80" s="24"/>
      <c r="J80" s="24"/>
      <c r="K80" s="21"/>
      <c r="L80" s="21"/>
      <c r="M80" s="25"/>
      <c r="N80" s="10"/>
      <c r="R80" s="2"/>
    </row>
    <row r="81" spans="1:18" ht="15.75" x14ac:dyDescent="0.25">
      <c r="A81" s="19" t="s">
        <v>57</v>
      </c>
      <c r="B81" s="20">
        <f>DATE(2020,7,1)</f>
        <v>44013</v>
      </c>
      <c r="C81" s="21">
        <v>61338</v>
      </c>
      <c r="D81" s="21">
        <v>77431</v>
      </c>
      <c r="E81" s="23">
        <f>(+C81-D81)/D81</f>
        <v>-0.2078366545698751</v>
      </c>
      <c r="F81" s="21">
        <f>+C81-27914</f>
        <v>33424</v>
      </c>
      <c r="G81" s="21">
        <f>+D81-35761</f>
        <v>41670</v>
      </c>
      <c r="H81" s="23">
        <f>(+F81-G81)/G81</f>
        <v>-0.19788816894648428</v>
      </c>
      <c r="I81" s="24">
        <f>K81/C81</f>
        <v>57.274320812546875</v>
      </c>
      <c r="J81" s="24">
        <f>K81/F81</f>
        <v>105.10687799186213</v>
      </c>
      <c r="K81" s="21">
        <v>3513092.29</v>
      </c>
      <c r="L81" s="21">
        <v>3396657.88</v>
      </c>
      <c r="M81" s="25">
        <f>(+K81-L81)/L81</f>
        <v>3.4279110264705301E-2</v>
      </c>
      <c r="N81" s="10"/>
      <c r="R81" s="2"/>
    </row>
    <row r="82" spans="1:18" ht="15.75" x14ac:dyDescent="0.25">
      <c r="A82" s="19"/>
      <c r="B82" s="20">
        <f>DATE(2020,8,1)</f>
        <v>44044</v>
      </c>
      <c r="C82" s="21">
        <v>61855</v>
      </c>
      <c r="D82" s="21">
        <v>83032</v>
      </c>
      <c r="E82" s="23">
        <f>(+C82-D82)/D82</f>
        <v>-0.25504624722998365</v>
      </c>
      <c r="F82" s="21">
        <f>+C82-27562</f>
        <v>34293</v>
      </c>
      <c r="G82" s="21">
        <f>+D82-37844</f>
        <v>45188</v>
      </c>
      <c r="H82" s="23">
        <f>(+F82-G82)/G82</f>
        <v>-0.24110383287598477</v>
      </c>
      <c r="I82" s="24">
        <f>K82/C82</f>
        <v>57.364789265217041</v>
      </c>
      <c r="J82" s="24">
        <f>K82/F82</f>
        <v>103.47006794389526</v>
      </c>
      <c r="K82" s="21">
        <v>3548299.04</v>
      </c>
      <c r="L82" s="21">
        <v>3491800.49</v>
      </c>
      <c r="M82" s="25">
        <f>(+K82-L82)/L82</f>
        <v>1.618034883774239E-2</v>
      </c>
      <c r="N82" s="10"/>
      <c r="R82" s="2"/>
    </row>
    <row r="83" spans="1:18" ht="15.75" x14ac:dyDescent="0.25">
      <c r="A83" s="19"/>
      <c r="B83" s="20">
        <f>DATE(2020,9,1)</f>
        <v>44075</v>
      </c>
      <c r="C83" s="21">
        <v>58231</v>
      </c>
      <c r="D83" s="21">
        <v>70924</v>
      </c>
      <c r="E83" s="23">
        <f>(+C83-D83)/D83</f>
        <v>-0.178966217359427</v>
      </c>
      <c r="F83" s="21">
        <f>+C83-25995</f>
        <v>32236</v>
      </c>
      <c r="G83" s="21">
        <f>+D83-32729</f>
        <v>38195</v>
      </c>
      <c r="H83" s="23">
        <f>(+F83-G83)/G83</f>
        <v>-0.15601518523366933</v>
      </c>
      <c r="I83" s="24">
        <f>K83/C83</f>
        <v>55.086754134395768</v>
      </c>
      <c r="J83" s="24">
        <f>K83/F83</f>
        <v>99.508524010423116</v>
      </c>
      <c r="K83" s="21">
        <v>3207756.78</v>
      </c>
      <c r="L83" s="21">
        <v>3371438.75</v>
      </c>
      <c r="M83" s="25">
        <f>(+K83-L83)/L83</f>
        <v>-4.8549590289902259E-2</v>
      </c>
      <c r="N83" s="10"/>
      <c r="R83" s="2"/>
    </row>
    <row r="84" spans="1:18" ht="15.75" thickBot="1" x14ac:dyDescent="0.25">
      <c r="A84" s="38"/>
      <c r="B84" s="45"/>
      <c r="C84" s="21"/>
      <c r="D84" s="21"/>
      <c r="E84" s="23"/>
      <c r="F84" s="21"/>
      <c r="G84" s="21"/>
      <c r="H84" s="23"/>
      <c r="I84" s="24"/>
      <c r="J84" s="24"/>
      <c r="K84" s="21"/>
      <c r="L84" s="21"/>
      <c r="M84" s="25"/>
      <c r="N84" s="10"/>
      <c r="R84" s="2"/>
    </row>
    <row r="85" spans="1:18" ht="17.25" thickTop="1" thickBot="1" x14ac:dyDescent="0.3">
      <c r="A85" s="26" t="s">
        <v>14</v>
      </c>
      <c r="B85" s="27"/>
      <c r="C85" s="28">
        <f>SUM(C81:C84)</f>
        <v>181424</v>
      </c>
      <c r="D85" s="28">
        <f>SUM(D81:D84)</f>
        <v>231387</v>
      </c>
      <c r="E85" s="280">
        <f>(+C85-D85)/D85</f>
        <v>-0.21592829329219013</v>
      </c>
      <c r="F85" s="28">
        <f>SUM(F81:F84)</f>
        <v>99953</v>
      </c>
      <c r="G85" s="28">
        <f>SUM(G81:G84)</f>
        <v>125053</v>
      </c>
      <c r="H85" s="42">
        <f>(+F85-G85)/G85</f>
        <v>-0.20071489688372129</v>
      </c>
      <c r="I85" s="43">
        <f>K85/C85</f>
        <v>56.603029973983595</v>
      </c>
      <c r="J85" s="43">
        <f>K85/F85</f>
        <v>102.73976879133193</v>
      </c>
      <c r="K85" s="28">
        <f>SUM(K81:K84)</f>
        <v>10269148.109999999</v>
      </c>
      <c r="L85" s="28">
        <f>SUM(L81:L84)</f>
        <v>10259897.120000001</v>
      </c>
      <c r="M85" s="44">
        <f>(+K85-L85)/L85</f>
        <v>9.0166498667565193E-4</v>
      </c>
      <c r="N85" s="10"/>
      <c r="R85" s="2"/>
    </row>
    <row r="86" spans="1:18" ht="16.5" thickTop="1" thickBot="1" x14ac:dyDescent="0.25">
      <c r="A86" s="63"/>
      <c r="B86" s="34"/>
      <c r="C86" s="35"/>
      <c r="D86" s="35"/>
      <c r="E86" s="29"/>
      <c r="F86" s="35"/>
      <c r="G86" s="35"/>
      <c r="H86" s="29"/>
      <c r="I86" s="36"/>
      <c r="J86" s="36"/>
      <c r="K86" s="35"/>
      <c r="L86" s="35"/>
      <c r="M86" s="37"/>
      <c r="N86" s="10"/>
      <c r="R86" s="2"/>
    </row>
    <row r="87" spans="1:18" ht="17.25" thickTop="1" thickBot="1" x14ac:dyDescent="0.3">
      <c r="A87" s="64" t="s">
        <v>18</v>
      </c>
      <c r="B87" s="65"/>
      <c r="C87" s="28">
        <f>C85+C79+C37+C49+C55+C25+C13+C61+C67+C31+C73+C19+C43</f>
        <v>6278134</v>
      </c>
      <c r="D87" s="28">
        <f>D85+D79+D37+D49+D55+D25+D13+D61+D67+D31+D73+D19+D43</f>
        <v>9379520</v>
      </c>
      <c r="E87" s="279">
        <f>(+C87-D87)/D87</f>
        <v>-0.33065508682747091</v>
      </c>
      <c r="F87" s="28">
        <f>F85+F79+F37+F49+F55+F25+F13+F61+F67+F31+F73+F19+F43</f>
        <v>3200527</v>
      </c>
      <c r="G87" s="28">
        <f>G85+G79+G37+G49+G55+G25+G13+G61+G67+G31+G73+G19+G43</f>
        <v>4998889</v>
      </c>
      <c r="H87" s="30">
        <f>(+F87-G87)/G87</f>
        <v>-0.35975233696927456</v>
      </c>
      <c r="I87" s="31">
        <f>K87/C87</f>
        <v>62.624416447626004</v>
      </c>
      <c r="J87" s="31">
        <f>K87/F87</f>
        <v>122.84366859895263</v>
      </c>
      <c r="K87" s="28">
        <f>K85+K79+K37+K49+K55+K25+K13+K61+K67+K31+K73+K19+K43</f>
        <v>393164478.13000005</v>
      </c>
      <c r="L87" s="28">
        <f>L85+L79+L37+L49+L55+L25+L13+L61+L67+L31+L73+L19+L43</f>
        <v>435478670.89999998</v>
      </c>
      <c r="M87" s="32">
        <f>(+K87-L87)/L87</f>
        <v>-9.7167084400596584E-2</v>
      </c>
      <c r="N87" s="10"/>
      <c r="R87" s="2"/>
    </row>
    <row r="88" spans="1:18" ht="17.25" thickTop="1" thickBot="1" x14ac:dyDescent="0.3">
      <c r="A88" s="64"/>
      <c r="B88" s="65"/>
      <c r="C88" s="28"/>
      <c r="D88" s="28"/>
      <c r="E88" s="29"/>
      <c r="F88" s="28"/>
      <c r="G88" s="28"/>
      <c r="H88" s="30"/>
      <c r="I88" s="31"/>
      <c r="J88" s="31"/>
      <c r="K88" s="28"/>
      <c r="L88" s="28"/>
      <c r="M88" s="32"/>
      <c r="N88" s="10"/>
      <c r="R88" s="2"/>
    </row>
    <row r="89" spans="1:18" ht="17.25" thickTop="1" thickBot="1" x14ac:dyDescent="0.3">
      <c r="A89" s="64" t="s">
        <v>19</v>
      </c>
      <c r="B89" s="65"/>
      <c r="C89" s="28">
        <f>SUM(C11+C17+C23+C29+C35+C41+C47+C53+C59+C65+C71+C77+C83)</f>
        <v>2143569</v>
      </c>
      <c r="D89" s="28">
        <f>SUM(D11+D17+D23+D29+D35+D41+D47+D53+D59+D65+D71+D77+D83)</f>
        <v>2994893</v>
      </c>
      <c r="E89" s="279">
        <f>(+C89-D89)/D89</f>
        <v>-0.28425856950482037</v>
      </c>
      <c r="F89" s="28">
        <f>SUM(F11+F17+F23+F29+F35+F41+F47+F53+F59+F65+F71+F77+F83)</f>
        <v>1088635</v>
      </c>
      <c r="G89" s="28">
        <f>SUM(G11+G17+G23+G29+G35+G41+G47+G53+G59+G65+G71+G77+G83)</f>
        <v>1602219</v>
      </c>
      <c r="H89" s="30">
        <f>(+F89-G89)/G89</f>
        <v>-0.32054544353799325</v>
      </c>
      <c r="I89" s="31">
        <f>K89/C89</f>
        <v>60.352295657382626</v>
      </c>
      <c r="J89" s="31">
        <f>K89/F89</f>
        <v>118.83625829593942</v>
      </c>
      <c r="K89" s="28">
        <f>SUM(K11+K17+K23+K29+K35+K41+K47+K53+K59+K65+K71+K77+K83)</f>
        <v>129369310.05000001</v>
      </c>
      <c r="L89" s="28">
        <f>SUM(L11+L17+L23+L29+L35+L41+L47+L53+L59+L65+L71+L77+L83)</f>
        <v>139842927.32999998</v>
      </c>
      <c r="M89" s="44">
        <f>(+K89-L89)/L89</f>
        <v>-7.489558092047395E-2</v>
      </c>
      <c r="N89" s="10"/>
      <c r="R89" s="2"/>
    </row>
    <row r="90" spans="1:18" ht="15.75" thickTop="1" x14ac:dyDescent="0.2">
      <c r="A90" s="66"/>
      <c r="B90" s="67"/>
      <c r="C90" s="68"/>
      <c r="D90" s="67"/>
      <c r="E90" s="67"/>
      <c r="F90" s="67"/>
      <c r="G90" s="67"/>
      <c r="H90" s="67"/>
      <c r="I90" s="67"/>
      <c r="J90" s="67"/>
      <c r="K90" s="68"/>
      <c r="L90" s="68"/>
      <c r="M90" s="67"/>
      <c r="R90" s="2"/>
    </row>
    <row r="91" spans="1:18" ht="18.75" x14ac:dyDescent="0.3">
      <c r="A91" s="264" t="s">
        <v>20</v>
      </c>
      <c r="B91" s="70"/>
      <c r="C91" s="71"/>
      <c r="D91" s="71"/>
      <c r="E91" s="71"/>
      <c r="F91" s="71"/>
      <c r="G91" s="71"/>
      <c r="H91" s="71"/>
      <c r="I91" s="71"/>
      <c r="J91" s="71"/>
      <c r="K91" s="198"/>
      <c r="L91" s="198"/>
      <c r="M91" s="71"/>
      <c r="N91" s="2"/>
      <c r="O91" s="2"/>
      <c r="P91" s="2"/>
      <c r="Q91" s="2"/>
      <c r="R91" s="2"/>
    </row>
    <row r="92" spans="1:18" ht="18" x14ac:dyDescent="0.25">
      <c r="A92" s="69"/>
      <c r="B92" s="70"/>
      <c r="C92" s="71"/>
      <c r="D92" s="71"/>
      <c r="E92" s="71"/>
      <c r="F92" s="71"/>
      <c r="G92" s="71"/>
      <c r="H92" s="71"/>
      <c r="I92" s="71"/>
      <c r="J92" s="71"/>
      <c r="K92" s="198"/>
      <c r="L92" s="198"/>
      <c r="M92" s="71"/>
      <c r="N92" s="2"/>
      <c r="O92" s="2"/>
      <c r="P92" s="2"/>
      <c r="Q92" s="2"/>
      <c r="R92" s="2"/>
    </row>
    <row r="93" spans="1:18" ht="15.75" x14ac:dyDescent="0.25">
      <c r="A93" s="72"/>
      <c r="B93" s="73"/>
      <c r="C93" s="74"/>
      <c r="D93" s="74"/>
      <c r="E93" s="74"/>
      <c r="F93" s="74"/>
      <c r="G93" s="74"/>
      <c r="H93" s="74"/>
      <c r="I93" s="74"/>
      <c r="J93" s="74"/>
      <c r="K93" s="192"/>
      <c r="L93" s="192"/>
      <c r="M93" s="75"/>
      <c r="N93" s="2"/>
      <c r="O93" s="2"/>
      <c r="P93" s="2"/>
      <c r="Q93" s="2"/>
      <c r="R93" s="2"/>
    </row>
    <row r="94" spans="1:18" x14ac:dyDescent="0.2">
      <c r="A94" s="2"/>
      <c r="B94" s="73"/>
      <c r="C94" s="74"/>
      <c r="D94" s="74"/>
      <c r="E94" s="74"/>
      <c r="F94" s="74"/>
      <c r="G94" s="74"/>
      <c r="H94" s="74"/>
      <c r="I94" s="74"/>
      <c r="J94" s="74"/>
      <c r="K94" s="192"/>
      <c r="L94" s="192"/>
      <c r="M94" s="75"/>
      <c r="N94" s="2"/>
      <c r="O94" s="2"/>
      <c r="P94" s="2"/>
      <c r="Q94" s="2"/>
      <c r="R94" s="2"/>
    </row>
    <row r="95" spans="1:18" x14ac:dyDescent="0.2">
      <c r="A95" s="2"/>
      <c r="B95" s="73"/>
      <c r="C95" s="74"/>
      <c r="D95" s="74"/>
      <c r="E95" s="74"/>
      <c r="F95" s="74"/>
      <c r="G95" s="74"/>
      <c r="H95" s="74"/>
      <c r="I95" s="74"/>
      <c r="J95" s="74"/>
      <c r="K95" s="192"/>
      <c r="L95" s="192"/>
      <c r="M95" s="75"/>
      <c r="N95" s="2"/>
      <c r="O95" s="2"/>
      <c r="P95" s="2"/>
      <c r="Q95" s="2"/>
      <c r="R95" s="2"/>
    </row>
    <row r="96" spans="1:18" x14ac:dyDescent="0.2">
      <c r="A96" s="2"/>
      <c r="B96" s="73"/>
      <c r="C96" s="74"/>
      <c r="D96" s="74"/>
      <c r="E96" s="74"/>
      <c r="F96" s="74"/>
      <c r="G96" s="74"/>
      <c r="H96" s="74"/>
      <c r="I96" s="74"/>
      <c r="J96" s="74"/>
      <c r="K96" s="192"/>
      <c r="L96" s="192"/>
      <c r="M96" s="75"/>
      <c r="N96" s="2"/>
      <c r="O96" s="2"/>
      <c r="P96" s="2"/>
      <c r="Q96" s="2"/>
      <c r="R96" s="2"/>
    </row>
    <row r="97" spans="1:18" x14ac:dyDescent="0.2">
      <c r="A97" s="2"/>
      <c r="B97" s="73"/>
      <c r="C97" s="74"/>
      <c r="D97" s="74"/>
      <c r="E97" s="74"/>
      <c r="F97" s="74"/>
      <c r="G97" s="74"/>
      <c r="H97" s="74"/>
      <c r="I97" s="74"/>
      <c r="J97" s="74"/>
      <c r="K97" s="192"/>
      <c r="L97" s="192"/>
      <c r="M97" s="75"/>
      <c r="N97" s="2"/>
      <c r="O97" s="2"/>
      <c r="P97" s="2"/>
      <c r="Q97" s="2"/>
      <c r="R97" s="2"/>
    </row>
    <row r="98" spans="1:18" x14ac:dyDescent="0.2">
      <c r="A98" s="2"/>
      <c r="B98" s="73"/>
      <c r="C98" s="74"/>
      <c r="D98" s="74"/>
      <c r="E98" s="74"/>
      <c r="F98" s="74"/>
      <c r="G98" s="74"/>
      <c r="H98" s="74"/>
      <c r="I98" s="74"/>
      <c r="J98" s="74"/>
      <c r="K98" s="192"/>
      <c r="L98" s="192"/>
      <c r="M98" s="75"/>
      <c r="N98" s="2"/>
      <c r="O98" s="2"/>
      <c r="P98" s="2"/>
      <c r="Q98" s="2"/>
      <c r="R98" s="2"/>
    </row>
    <row r="99" spans="1:18" x14ac:dyDescent="0.2">
      <c r="A99" s="2"/>
      <c r="B99" s="73"/>
      <c r="C99" s="74"/>
      <c r="D99" s="74"/>
      <c r="E99" s="74"/>
      <c r="F99" s="74"/>
      <c r="G99" s="74"/>
      <c r="H99" s="74"/>
      <c r="I99" s="74"/>
      <c r="J99" s="74"/>
      <c r="K99" s="192"/>
      <c r="L99" s="192"/>
      <c r="M99" s="75"/>
      <c r="N99" s="2"/>
      <c r="O99" s="2"/>
      <c r="P99" s="2"/>
      <c r="Q99" s="2"/>
      <c r="R99" s="2"/>
    </row>
    <row r="100" spans="1:18" x14ac:dyDescent="0.2">
      <c r="A100" s="2"/>
      <c r="B100" s="73"/>
      <c r="C100" s="74"/>
      <c r="D100" s="74"/>
      <c r="E100" s="74"/>
      <c r="F100" s="74"/>
      <c r="G100" s="74"/>
      <c r="H100" s="74"/>
      <c r="I100" s="74"/>
      <c r="J100" s="74"/>
      <c r="K100" s="192"/>
      <c r="L100" s="192"/>
      <c r="M100" s="75"/>
      <c r="N100" s="2"/>
      <c r="O100" s="2"/>
      <c r="P100" s="2"/>
      <c r="Q100" s="2"/>
      <c r="R100" s="2"/>
    </row>
    <row r="101" spans="1:18" x14ac:dyDescent="0.2">
      <c r="A101" s="2"/>
      <c r="B101" s="73"/>
      <c r="C101" s="74"/>
      <c r="D101" s="74"/>
      <c r="E101" s="74"/>
      <c r="F101" s="74"/>
      <c r="G101" s="74"/>
      <c r="H101" s="74"/>
      <c r="I101" s="74"/>
      <c r="J101" s="74"/>
      <c r="K101" s="192"/>
      <c r="L101" s="192"/>
      <c r="M101" s="75"/>
      <c r="N101" s="2"/>
      <c r="O101" s="2"/>
      <c r="P101" s="2"/>
      <c r="Q101" s="2"/>
      <c r="R101" s="2"/>
    </row>
    <row r="102" spans="1:18" x14ac:dyDescent="0.2">
      <c r="A102" s="2"/>
      <c r="B102" s="73"/>
      <c r="C102" s="74"/>
      <c r="D102" s="74"/>
      <c r="E102" s="74"/>
      <c r="F102" s="74"/>
      <c r="G102" s="74"/>
      <c r="H102" s="74"/>
      <c r="I102" s="74"/>
      <c r="J102" s="74"/>
      <c r="K102" s="192"/>
      <c r="L102" s="192"/>
      <c r="M102" s="74"/>
      <c r="N102" s="2"/>
      <c r="O102" s="2"/>
      <c r="P102" s="2"/>
      <c r="Q102" s="2"/>
      <c r="R102" s="2"/>
    </row>
    <row r="103" spans="1:18" x14ac:dyDescent="0.2">
      <c r="A103" s="2"/>
      <c r="B103" s="73"/>
      <c r="C103" s="74"/>
      <c r="D103" s="74"/>
      <c r="E103" s="74"/>
      <c r="F103" s="74"/>
      <c r="G103" s="74"/>
      <c r="H103" s="74"/>
      <c r="I103" s="74"/>
      <c r="J103" s="74"/>
      <c r="K103" s="192"/>
      <c r="L103" s="192"/>
      <c r="M103" s="74"/>
      <c r="N103" s="2"/>
      <c r="O103" s="2"/>
      <c r="P103" s="2"/>
      <c r="Q103" s="2"/>
      <c r="R103" s="2"/>
    </row>
    <row r="104" spans="1:18" x14ac:dyDescent="0.2">
      <c r="A104" s="2"/>
      <c r="B104" s="70"/>
      <c r="C104" s="74"/>
      <c r="D104" s="74"/>
      <c r="E104" s="74"/>
      <c r="F104" s="74"/>
      <c r="G104" s="74"/>
      <c r="H104" s="74"/>
      <c r="I104" s="74"/>
      <c r="J104" s="74"/>
      <c r="K104" s="192"/>
      <c r="L104" s="192"/>
      <c r="M104" s="74"/>
      <c r="N104" s="2"/>
      <c r="O104" s="2"/>
      <c r="P104" s="2"/>
      <c r="Q104" s="2"/>
      <c r="R104" s="2"/>
    </row>
    <row r="105" spans="1:18" ht="15.75" x14ac:dyDescent="0.25">
      <c r="A105" s="76"/>
      <c r="B105" s="70"/>
      <c r="C105" s="74"/>
      <c r="D105" s="74"/>
      <c r="E105" s="74"/>
      <c r="F105" s="74"/>
      <c r="G105" s="74"/>
      <c r="H105" s="74"/>
      <c r="I105" s="74"/>
      <c r="J105" s="74"/>
      <c r="K105" s="192"/>
      <c r="L105" s="192"/>
      <c r="M105" s="75"/>
      <c r="N105" s="2"/>
      <c r="O105" s="2"/>
      <c r="P105" s="2"/>
      <c r="Q105" s="2"/>
      <c r="R105" s="2"/>
    </row>
    <row r="106" spans="1:18" ht="15.75" x14ac:dyDescent="0.25">
      <c r="A106" s="76"/>
      <c r="B106" s="70"/>
      <c r="C106" s="74"/>
      <c r="D106" s="74"/>
      <c r="E106" s="74"/>
      <c r="F106" s="74"/>
      <c r="G106" s="74"/>
      <c r="H106" s="74"/>
      <c r="I106" s="74"/>
      <c r="J106" s="74"/>
      <c r="K106" s="192"/>
      <c r="L106" s="192"/>
      <c r="M106" s="75"/>
      <c r="N106" s="2"/>
      <c r="O106" s="2"/>
      <c r="P106" s="2"/>
      <c r="Q106" s="2"/>
      <c r="R106" s="2"/>
    </row>
    <row r="107" spans="1:18" ht="15.75" x14ac:dyDescent="0.25">
      <c r="A107" s="76"/>
      <c r="B107" s="70"/>
      <c r="C107" s="74"/>
      <c r="D107" s="74"/>
      <c r="E107" s="74"/>
      <c r="F107" s="74"/>
      <c r="G107" s="74"/>
      <c r="H107" s="74"/>
      <c r="I107" s="74"/>
      <c r="J107" s="74"/>
      <c r="K107" s="192"/>
      <c r="L107" s="192"/>
      <c r="M107" s="75"/>
      <c r="N107" s="2"/>
      <c r="O107" s="2"/>
      <c r="P107" s="2"/>
      <c r="Q107" s="2"/>
      <c r="R107" s="2"/>
    </row>
    <row r="108" spans="1:18" x14ac:dyDescent="0.2">
      <c r="A108" s="2"/>
      <c r="B108" s="70"/>
      <c r="C108" s="74"/>
      <c r="D108" s="74"/>
      <c r="E108" s="74"/>
      <c r="F108" s="74"/>
      <c r="G108" s="74"/>
      <c r="H108" s="74"/>
      <c r="I108" s="74"/>
      <c r="J108" s="74"/>
      <c r="K108" s="192"/>
      <c r="L108" s="192"/>
      <c r="M108" s="75"/>
      <c r="N108" s="2"/>
      <c r="O108" s="2"/>
      <c r="P108" s="2"/>
      <c r="Q108" s="2"/>
      <c r="R108" s="2"/>
    </row>
    <row r="109" spans="1:18" ht="15.75" x14ac:dyDescent="0.25">
      <c r="A109" s="76"/>
      <c r="B109" s="73"/>
      <c r="C109" s="74"/>
      <c r="D109" s="74"/>
      <c r="E109" s="74"/>
      <c r="F109" s="74"/>
      <c r="G109" s="74"/>
      <c r="H109" s="74"/>
      <c r="I109" s="74"/>
      <c r="J109" s="74"/>
      <c r="K109" s="192"/>
      <c r="L109" s="192"/>
      <c r="M109" s="75"/>
      <c r="N109" s="2"/>
      <c r="O109" s="2"/>
      <c r="P109" s="2"/>
      <c r="Q109" s="2"/>
      <c r="R109" s="2"/>
    </row>
    <row r="110" spans="1:18" x14ac:dyDescent="0.2">
      <c r="A110" s="2"/>
      <c r="B110" s="73"/>
      <c r="C110" s="74"/>
      <c r="D110" s="74"/>
      <c r="E110" s="74"/>
      <c r="F110" s="74"/>
      <c r="G110" s="74"/>
      <c r="H110" s="74"/>
      <c r="I110" s="74"/>
      <c r="J110" s="74"/>
      <c r="K110" s="192"/>
      <c r="L110" s="192"/>
      <c r="M110" s="75"/>
      <c r="N110" s="2"/>
      <c r="O110" s="2"/>
      <c r="P110" s="2"/>
      <c r="Q110" s="2"/>
      <c r="R110" s="2"/>
    </row>
    <row r="111" spans="1:18" x14ac:dyDescent="0.2">
      <c r="A111" s="2"/>
      <c r="B111" s="73"/>
      <c r="C111" s="74"/>
      <c r="D111" s="74"/>
      <c r="E111" s="74"/>
      <c r="F111" s="74"/>
      <c r="G111" s="74"/>
      <c r="H111" s="74"/>
      <c r="I111" s="74"/>
      <c r="J111" s="74"/>
      <c r="K111" s="192"/>
      <c r="L111" s="192"/>
      <c r="M111" s="75"/>
      <c r="N111" s="2"/>
      <c r="O111" s="2"/>
      <c r="P111" s="2"/>
      <c r="Q111" s="2"/>
      <c r="R111" s="2"/>
    </row>
    <row r="112" spans="1:18" x14ac:dyDescent="0.2">
      <c r="A112" s="2"/>
      <c r="B112" s="77"/>
      <c r="C112" s="74"/>
      <c r="D112" s="74"/>
      <c r="E112" s="74"/>
      <c r="F112" s="74"/>
      <c r="G112" s="74"/>
      <c r="H112" s="74"/>
      <c r="I112" s="74"/>
      <c r="J112" s="74"/>
      <c r="K112" s="192"/>
      <c r="L112" s="192"/>
      <c r="M112" s="75"/>
      <c r="N112" s="2"/>
      <c r="O112" s="2"/>
      <c r="P112" s="2"/>
      <c r="Q112" s="2"/>
      <c r="R112" s="2"/>
    </row>
    <row r="113" spans="1:18" x14ac:dyDescent="0.2">
      <c r="A113" s="2"/>
      <c r="B113" s="77"/>
      <c r="C113" s="74"/>
      <c r="D113" s="74"/>
      <c r="E113" s="74"/>
      <c r="F113" s="74"/>
      <c r="G113" s="74"/>
      <c r="H113" s="74"/>
      <c r="I113" s="74"/>
      <c r="J113" s="74"/>
      <c r="K113" s="192"/>
      <c r="L113" s="192"/>
      <c r="M113" s="75"/>
      <c r="N113" s="2"/>
      <c r="O113" s="2"/>
      <c r="P113" s="2"/>
      <c r="Q113" s="2"/>
      <c r="R113" s="2"/>
    </row>
    <row r="114" spans="1:18" x14ac:dyDescent="0.2">
      <c r="A114" s="2"/>
      <c r="B114" s="77"/>
      <c r="C114" s="74"/>
      <c r="D114" s="74"/>
      <c r="E114" s="74"/>
      <c r="F114" s="74"/>
      <c r="G114" s="74"/>
      <c r="H114" s="74"/>
      <c r="I114" s="74"/>
      <c r="J114" s="74"/>
      <c r="K114" s="192"/>
      <c r="L114" s="192"/>
      <c r="M114" s="75"/>
      <c r="N114" s="2"/>
      <c r="O114" s="2"/>
      <c r="P114" s="2"/>
      <c r="Q114" s="2"/>
      <c r="R114" s="2"/>
    </row>
    <row r="115" spans="1:18" x14ac:dyDescent="0.2">
      <c r="A115" s="2"/>
      <c r="B115" s="77"/>
      <c r="C115" s="74"/>
      <c r="D115" s="74"/>
      <c r="E115" s="74"/>
      <c r="F115" s="74"/>
      <c r="G115" s="74"/>
      <c r="H115" s="74"/>
      <c r="I115" s="74"/>
      <c r="J115" s="74"/>
      <c r="K115" s="192"/>
      <c r="L115" s="192"/>
      <c r="M115" s="75"/>
      <c r="N115" s="2"/>
      <c r="O115" s="2"/>
      <c r="P115" s="2"/>
      <c r="Q115" s="2"/>
      <c r="R115" s="2"/>
    </row>
    <row r="116" spans="1:18" x14ac:dyDescent="0.2">
      <c r="A116" s="2"/>
      <c r="B116" s="77"/>
      <c r="C116" s="74"/>
      <c r="D116" s="74"/>
      <c r="E116" s="74"/>
      <c r="F116" s="74"/>
      <c r="G116" s="74"/>
      <c r="H116" s="74"/>
      <c r="I116" s="74"/>
      <c r="J116" s="74"/>
      <c r="K116" s="192"/>
      <c r="L116" s="192"/>
      <c r="M116" s="75"/>
      <c r="N116" s="2"/>
      <c r="O116" s="2"/>
      <c r="P116" s="2"/>
      <c r="Q116" s="2"/>
      <c r="R116" s="2"/>
    </row>
    <row r="117" spans="1:18" x14ac:dyDescent="0.2">
      <c r="A117" s="2"/>
      <c r="B117" s="77"/>
      <c r="C117" s="74"/>
      <c r="D117" s="74"/>
      <c r="E117" s="74"/>
      <c r="F117" s="74"/>
      <c r="G117" s="74"/>
      <c r="H117" s="74"/>
      <c r="I117" s="74"/>
      <c r="J117" s="74"/>
      <c r="K117" s="192"/>
      <c r="L117" s="192"/>
      <c r="M117" s="75"/>
      <c r="N117" s="2"/>
      <c r="O117" s="2"/>
      <c r="P117" s="2"/>
      <c r="Q117" s="2"/>
      <c r="R117" s="2"/>
    </row>
    <row r="118" spans="1:18" x14ac:dyDescent="0.2">
      <c r="A118" s="2"/>
      <c r="B118" s="77"/>
      <c r="C118" s="74"/>
      <c r="D118" s="74"/>
      <c r="E118" s="74"/>
      <c r="F118" s="74"/>
      <c r="G118" s="74"/>
      <c r="H118" s="74"/>
      <c r="I118" s="74"/>
      <c r="J118" s="74"/>
      <c r="K118" s="192"/>
      <c r="L118" s="192"/>
      <c r="M118" s="75"/>
      <c r="N118" s="2"/>
      <c r="O118" s="2"/>
      <c r="P118" s="2"/>
      <c r="Q118" s="2"/>
      <c r="R118" s="2"/>
    </row>
    <row r="119" spans="1:18" x14ac:dyDescent="0.2">
      <c r="A119" s="2"/>
      <c r="B119" s="77"/>
      <c r="C119" s="74"/>
      <c r="D119" s="74"/>
      <c r="E119" s="74"/>
      <c r="F119" s="74"/>
      <c r="G119" s="74"/>
      <c r="H119" s="74"/>
      <c r="I119" s="74"/>
      <c r="J119" s="74"/>
      <c r="K119" s="192"/>
      <c r="L119" s="192"/>
      <c r="M119" s="75"/>
      <c r="N119" s="2"/>
      <c r="O119" s="2"/>
      <c r="P119" s="2"/>
      <c r="Q119" s="2"/>
      <c r="R119" s="2"/>
    </row>
    <row r="120" spans="1:18" x14ac:dyDescent="0.2">
      <c r="A120" s="2"/>
      <c r="B120" s="77"/>
      <c r="C120" s="74"/>
      <c r="D120" s="74"/>
      <c r="E120" s="74"/>
      <c r="F120" s="74"/>
      <c r="G120" s="74"/>
      <c r="H120" s="74"/>
      <c r="I120" s="74"/>
      <c r="J120" s="74"/>
      <c r="K120" s="192"/>
      <c r="L120" s="192"/>
      <c r="M120" s="75"/>
      <c r="N120" s="2"/>
      <c r="O120" s="2"/>
      <c r="P120" s="2"/>
      <c r="Q120" s="2"/>
      <c r="R120" s="2"/>
    </row>
    <row r="121" spans="1:18" x14ac:dyDescent="0.2">
      <c r="A121" s="2"/>
      <c r="B121" s="2"/>
      <c r="C121" s="74"/>
      <c r="D121" s="74"/>
      <c r="E121" s="74"/>
      <c r="F121" s="74"/>
      <c r="G121" s="74"/>
      <c r="H121" s="74"/>
      <c r="I121" s="74"/>
      <c r="J121" s="74"/>
      <c r="K121" s="192"/>
      <c r="L121" s="192"/>
      <c r="M121" s="75"/>
      <c r="N121" s="2"/>
      <c r="O121" s="2"/>
      <c r="P121" s="2"/>
      <c r="Q121" s="2"/>
      <c r="R121" s="2"/>
    </row>
    <row r="122" spans="1:18" ht="15.75" x14ac:dyDescent="0.25">
      <c r="A122" s="76"/>
      <c r="B122" s="2"/>
      <c r="C122" s="74"/>
      <c r="D122" s="74"/>
      <c r="E122" s="74"/>
      <c r="F122" s="74"/>
      <c r="G122" s="74"/>
      <c r="H122" s="74"/>
      <c r="I122" s="74"/>
      <c r="J122" s="74"/>
      <c r="K122" s="192"/>
      <c r="L122" s="192"/>
      <c r="M122" s="75"/>
      <c r="N122" s="2"/>
      <c r="O122" s="2"/>
      <c r="P122" s="2"/>
      <c r="Q122" s="2"/>
      <c r="R122" s="2"/>
    </row>
    <row r="123" spans="1:18" x14ac:dyDescent="0.2">
      <c r="A123" s="2"/>
      <c r="B123" s="2"/>
      <c r="C123" s="74"/>
      <c r="D123" s="74"/>
      <c r="E123" s="74"/>
      <c r="F123" s="74"/>
      <c r="G123" s="74"/>
      <c r="H123" s="74"/>
      <c r="I123" s="74"/>
      <c r="J123" s="74"/>
      <c r="K123" s="192"/>
      <c r="L123" s="192"/>
      <c r="M123" s="75"/>
      <c r="N123" s="2"/>
      <c r="O123" s="2"/>
      <c r="P123" s="2"/>
      <c r="Q123" s="2"/>
      <c r="R123" s="2"/>
    </row>
    <row r="124" spans="1:18" x14ac:dyDescent="0.2">
      <c r="A124" s="2"/>
      <c r="B124" s="2"/>
      <c r="C124" s="74"/>
      <c r="D124" s="74"/>
      <c r="E124" s="74"/>
      <c r="F124" s="74"/>
      <c r="G124" s="74"/>
      <c r="H124" s="74"/>
      <c r="I124" s="74"/>
      <c r="J124" s="74"/>
      <c r="K124" s="192"/>
      <c r="L124" s="192"/>
      <c r="M124" s="75"/>
      <c r="N124" s="2"/>
      <c r="O124" s="2"/>
      <c r="P124" s="2"/>
      <c r="Q124" s="2"/>
      <c r="R124" s="2"/>
    </row>
    <row r="125" spans="1:18" ht="15.75" x14ac:dyDescent="0.25">
      <c r="A125" s="76"/>
      <c r="B125" s="2"/>
      <c r="C125" s="74"/>
      <c r="D125" s="74"/>
      <c r="E125" s="74"/>
      <c r="F125" s="74"/>
      <c r="G125" s="74"/>
      <c r="H125" s="74"/>
      <c r="I125" s="74"/>
      <c r="J125" s="74"/>
      <c r="K125" s="192"/>
      <c r="L125" s="192"/>
      <c r="M125" s="75"/>
      <c r="N125" s="2"/>
      <c r="O125" s="2"/>
      <c r="P125" s="2"/>
      <c r="Q125" s="2"/>
      <c r="R125" s="2"/>
    </row>
    <row r="126" spans="1:18" ht="15.75" x14ac:dyDescent="0.25">
      <c r="A126" s="76"/>
      <c r="B126" s="2"/>
      <c r="C126" s="74"/>
      <c r="D126" s="74"/>
      <c r="E126" s="74"/>
      <c r="F126" s="74"/>
      <c r="G126" s="74"/>
      <c r="H126" s="74"/>
      <c r="I126" s="74"/>
      <c r="J126" s="74"/>
      <c r="K126" s="192"/>
      <c r="L126" s="192"/>
      <c r="M126" s="75"/>
      <c r="N126" s="2"/>
      <c r="O126" s="2"/>
      <c r="P126" s="2"/>
      <c r="Q126" s="2"/>
      <c r="R126" s="2"/>
    </row>
    <row r="127" spans="1:18" ht="15.75" x14ac:dyDescent="0.25">
      <c r="A127" s="76"/>
      <c r="B127" s="77"/>
      <c r="C127" s="74"/>
      <c r="D127" s="74"/>
      <c r="E127" s="74"/>
      <c r="F127" s="74"/>
      <c r="G127" s="74"/>
      <c r="H127" s="74"/>
      <c r="I127" s="74"/>
      <c r="J127" s="74"/>
      <c r="K127" s="192"/>
      <c r="L127" s="192"/>
      <c r="M127" s="75"/>
      <c r="N127" s="2"/>
      <c r="O127" s="2"/>
      <c r="P127" s="2"/>
      <c r="Q127" s="2"/>
      <c r="R127" s="2"/>
    </row>
    <row r="128" spans="1:18" x14ac:dyDescent="0.2">
      <c r="A128" s="2"/>
      <c r="B128" s="77"/>
      <c r="C128" s="74"/>
      <c r="D128" s="74"/>
      <c r="E128" s="74"/>
      <c r="F128" s="74"/>
      <c r="G128" s="74"/>
      <c r="H128" s="74"/>
      <c r="I128" s="74"/>
      <c r="J128" s="74"/>
      <c r="K128" s="192"/>
      <c r="L128" s="192"/>
      <c r="M128" s="75"/>
      <c r="N128" s="2"/>
      <c r="O128" s="2"/>
      <c r="P128" s="2"/>
      <c r="Q128" s="2"/>
      <c r="R128" s="2"/>
    </row>
    <row r="129" spans="1:18" x14ac:dyDescent="0.2">
      <c r="A129" s="2"/>
      <c r="B129" s="77"/>
      <c r="C129" s="74"/>
      <c r="D129" s="74"/>
      <c r="E129" s="74"/>
      <c r="F129" s="74"/>
      <c r="G129" s="74"/>
      <c r="H129" s="74"/>
      <c r="I129" s="74"/>
      <c r="J129" s="74"/>
      <c r="K129" s="192"/>
      <c r="L129" s="192"/>
      <c r="M129" s="75"/>
      <c r="N129" s="2"/>
      <c r="O129" s="2"/>
      <c r="P129" s="2"/>
      <c r="Q129" s="2"/>
      <c r="R129" s="2"/>
    </row>
    <row r="130" spans="1:18" x14ac:dyDescent="0.2">
      <c r="A130" s="2"/>
      <c r="B130" s="77"/>
      <c r="C130" s="74"/>
      <c r="D130" s="74"/>
      <c r="E130" s="74"/>
      <c r="F130" s="74"/>
      <c r="G130" s="74"/>
      <c r="H130" s="74"/>
      <c r="I130" s="74"/>
      <c r="J130" s="74"/>
      <c r="K130" s="192"/>
      <c r="L130" s="192"/>
      <c r="M130" s="75"/>
      <c r="N130" s="2"/>
      <c r="O130" s="2"/>
      <c r="P130" s="2"/>
      <c r="Q130" s="2"/>
      <c r="R130" s="2"/>
    </row>
    <row r="131" spans="1:18" x14ac:dyDescent="0.2">
      <c r="A131" s="2"/>
      <c r="B131" s="77"/>
      <c r="C131" s="74"/>
      <c r="D131" s="74"/>
      <c r="E131" s="74"/>
      <c r="F131" s="74"/>
      <c r="G131" s="74"/>
      <c r="H131" s="74"/>
      <c r="I131" s="74"/>
      <c r="J131" s="74"/>
      <c r="K131" s="192"/>
      <c r="L131" s="192"/>
      <c r="M131" s="75"/>
      <c r="N131" s="2"/>
      <c r="O131" s="2"/>
      <c r="P131" s="2"/>
      <c r="Q131" s="2"/>
      <c r="R131" s="2"/>
    </row>
    <row r="132" spans="1:18" x14ac:dyDescent="0.2">
      <c r="A132" s="2"/>
      <c r="B132" s="77"/>
      <c r="C132" s="74"/>
      <c r="D132" s="74"/>
      <c r="E132" s="74"/>
      <c r="F132" s="74"/>
      <c r="G132" s="74"/>
      <c r="H132" s="74"/>
      <c r="I132" s="74"/>
      <c r="J132" s="74"/>
      <c r="K132" s="192"/>
      <c r="L132" s="192"/>
      <c r="M132" s="75"/>
      <c r="N132" s="2"/>
      <c r="O132" s="2"/>
      <c r="P132" s="2"/>
      <c r="Q132" s="2"/>
      <c r="R132" s="2"/>
    </row>
    <row r="133" spans="1:18" x14ac:dyDescent="0.2">
      <c r="A133" s="2"/>
      <c r="B133" s="77"/>
      <c r="C133" s="74"/>
      <c r="D133" s="74"/>
      <c r="E133" s="74"/>
      <c r="F133" s="74"/>
      <c r="G133" s="74"/>
      <c r="H133" s="74"/>
      <c r="I133" s="74"/>
      <c r="J133" s="74"/>
      <c r="K133" s="192"/>
      <c r="L133" s="192"/>
      <c r="M133" s="75"/>
      <c r="N133" s="2"/>
      <c r="O133" s="2"/>
      <c r="P133" s="2"/>
      <c r="Q133" s="2"/>
      <c r="R133" s="2"/>
    </row>
    <row r="134" spans="1:18" x14ac:dyDescent="0.2">
      <c r="A134" s="2"/>
      <c r="B134" s="77"/>
      <c r="C134" s="74"/>
      <c r="D134" s="74"/>
      <c r="E134" s="74"/>
      <c r="F134" s="74"/>
      <c r="G134" s="74"/>
      <c r="H134" s="74"/>
      <c r="I134" s="74"/>
      <c r="J134" s="74"/>
      <c r="K134" s="192"/>
      <c r="L134" s="192"/>
      <c r="M134" s="75"/>
      <c r="N134" s="2"/>
      <c r="O134" s="2"/>
      <c r="P134" s="2"/>
      <c r="Q134" s="2"/>
      <c r="R134" s="2"/>
    </row>
    <row r="135" spans="1:18" x14ac:dyDescent="0.2">
      <c r="A135" s="2"/>
      <c r="B135" s="77"/>
      <c r="C135" s="74"/>
      <c r="D135" s="74"/>
      <c r="E135" s="74"/>
      <c r="F135" s="74"/>
      <c r="G135" s="74"/>
      <c r="H135" s="74"/>
      <c r="I135" s="74"/>
      <c r="J135" s="74"/>
      <c r="K135" s="192"/>
      <c r="L135" s="192"/>
      <c r="M135" s="75"/>
      <c r="N135" s="2"/>
      <c r="O135" s="2"/>
      <c r="P135" s="2"/>
      <c r="Q135" s="2"/>
      <c r="R135" s="2"/>
    </row>
    <row r="136" spans="1:18" x14ac:dyDescent="0.2">
      <c r="A136" s="2"/>
      <c r="B136" s="77"/>
      <c r="C136" s="74"/>
      <c r="D136" s="74"/>
      <c r="E136" s="74"/>
      <c r="F136" s="74"/>
      <c r="G136" s="74"/>
      <c r="H136" s="74"/>
      <c r="I136" s="74"/>
      <c r="J136" s="74"/>
      <c r="K136" s="192"/>
      <c r="L136" s="192"/>
      <c r="M136" s="75"/>
      <c r="N136" s="2"/>
      <c r="O136" s="2"/>
      <c r="P136" s="2"/>
      <c r="Q136" s="2"/>
      <c r="R136" s="2"/>
    </row>
    <row r="137" spans="1:18" x14ac:dyDescent="0.2">
      <c r="A137" s="2"/>
      <c r="B137" s="77"/>
      <c r="C137" s="74"/>
      <c r="D137" s="74"/>
      <c r="E137" s="74"/>
      <c r="F137" s="74"/>
      <c r="G137" s="74"/>
      <c r="H137" s="74"/>
      <c r="I137" s="74"/>
      <c r="J137" s="74"/>
      <c r="K137" s="192"/>
      <c r="L137" s="192"/>
      <c r="M137" s="75"/>
      <c r="N137" s="2"/>
      <c r="O137" s="2"/>
      <c r="P137" s="2"/>
      <c r="Q137" s="2"/>
      <c r="R137" s="2"/>
    </row>
    <row r="138" spans="1:18" x14ac:dyDescent="0.2">
      <c r="A138" s="2"/>
      <c r="B138" s="77"/>
      <c r="C138" s="74"/>
      <c r="D138" s="74"/>
      <c r="E138" s="74"/>
      <c r="F138" s="74"/>
      <c r="G138" s="74"/>
      <c r="H138" s="74"/>
      <c r="I138" s="74"/>
      <c r="J138" s="74"/>
      <c r="K138" s="192"/>
      <c r="L138" s="192"/>
      <c r="M138" s="75"/>
      <c r="N138" s="2"/>
      <c r="O138" s="2"/>
      <c r="P138" s="2"/>
      <c r="Q138" s="2"/>
      <c r="R138" s="2"/>
    </row>
    <row r="139" spans="1:18" x14ac:dyDescent="0.2">
      <c r="A139" s="2"/>
      <c r="B139" s="2"/>
      <c r="C139" s="74"/>
      <c r="D139" s="74"/>
      <c r="E139" s="74"/>
      <c r="F139" s="74"/>
      <c r="G139" s="74"/>
      <c r="H139" s="74"/>
      <c r="I139" s="74"/>
      <c r="J139" s="74"/>
      <c r="K139" s="192"/>
      <c r="L139" s="192"/>
      <c r="M139" s="75"/>
      <c r="N139" s="2"/>
      <c r="O139" s="2"/>
      <c r="P139" s="2"/>
      <c r="Q139" s="2"/>
      <c r="R139" s="2"/>
    </row>
    <row r="140" spans="1:18" ht="15.75" x14ac:dyDescent="0.25">
      <c r="A140" s="76"/>
      <c r="B140" s="2"/>
      <c r="C140" s="74"/>
      <c r="D140" s="74"/>
      <c r="E140" s="74"/>
      <c r="F140" s="74"/>
      <c r="G140" s="74"/>
      <c r="H140" s="74"/>
      <c r="I140" s="74"/>
      <c r="J140" s="74"/>
      <c r="K140" s="192"/>
      <c r="L140" s="192"/>
      <c r="M140" s="75"/>
      <c r="N140" s="2"/>
      <c r="O140" s="2"/>
      <c r="P140" s="2"/>
      <c r="Q140" s="2"/>
      <c r="R140" s="2"/>
    </row>
    <row r="141" spans="1:18" x14ac:dyDescent="0.2">
      <c r="A141" s="2"/>
      <c r="B141" s="2"/>
      <c r="C141" s="74"/>
      <c r="D141" s="74"/>
      <c r="E141" s="74"/>
      <c r="F141" s="74"/>
      <c r="G141" s="74"/>
      <c r="H141" s="74"/>
      <c r="I141" s="74"/>
      <c r="J141" s="74"/>
      <c r="K141" s="192"/>
      <c r="L141" s="192"/>
      <c r="M141" s="75"/>
      <c r="N141" s="2"/>
      <c r="O141" s="2"/>
      <c r="P141" s="2"/>
      <c r="Q141" s="2"/>
      <c r="R141" s="2"/>
    </row>
    <row r="142" spans="1:18" x14ac:dyDescent="0.2">
      <c r="A142" s="2"/>
      <c r="B142" s="2"/>
      <c r="C142" s="74"/>
      <c r="D142" s="74"/>
      <c r="E142" s="74"/>
      <c r="F142" s="74"/>
      <c r="G142" s="74"/>
      <c r="H142" s="74"/>
      <c r="I142" s="74"/>
      <c r="J142" s="74"/>
      <c r="K142" s="192"/>
      <c r="L142" s="192"/>
      <c r="M142" s="75"/>
      <c r="N142" s="2"/>
      <c r="O142" s="2"/>
      <c r="P142" s="2"/>
      <c r="Q142" s="2"/>
      <c r="R142" s="2"/>
    </row>
    <row r="143" spans="1:18" ht="15.75" x14ac:dyDescent="0.25">
      <c r="A143" s="76"/>
      <c r="B143" s="77"/>
      <c r="C143" s="74"/>
      <c r="D143" s="74"/>
      <c r="E143" s="74"/>
      <c r="F143" s="74"/>
      <c r="G143" s="74"/>
      <c r="H143" s="74"/>
      <c r="I143" s="74"/>
      <c r="J143" s="74"/>
      <c r="K143" s="192"/>
      <c r="L143" s="192"/>
      <c r="M143" s="75"/>
      <c r="N143" s="2"/>
      <c r="O143" s="2"/>
      <c r="P143" s="2"/>
      <c r="Q143" s="2"/>
      <c r="R143" s="2"/>
    </row>
    <row r="144" spans="1:18" x14ac:dyDescent="0.2">
      <c r="A144" s="2"/>
      <c r="B144" s="77"/>
      <c r="C144" s="74"/>
      <c r="D144" s="74"/>
      <c r="E144" s="74"/>
      <c r="F144" s="74"/>
      <c r="G144" s="74"/>
      <c r="H144" s="74"/>
      <c r="I144" s="74"/>
      <c r="J144" s="74"/>
      <c r="K144" s="192"/>
      <c r="L144" s="192"/>
      <c r="M144" s="75"/>
      <c r="N144" s="2"/>
      <c r="O144" s="2"/>
      <c r="P144" s="2"/>
      <c r="Q144" s="2"/>
      <c r="R144" s="2"/>
    </row>
    <row r="145" spans="1:18" x14ac:dyDescent="0.2">
      <c r="A145" s="2"/>
      <c r="B145" s="77"/>
      <c r="C145" s="74"/>
      <c r="D145" s="74"/>
      <c r="E145" s="74"/>
      <c r="F145" s="74"/>
      <c r="G145" s="74"/>
      <c r="H145" s="74"/>
      <c r="I145" s="74"/>
      <c r="J145" s="74"/>
      <c r="K145" s="192"/>
      <c r="L145" s="192"/>
      <c r="M145" s="75"/>
      <c r="N145" s="2"/>
      <c r="O145" s="2"/>
      <c r="P145" s="2"/>
      <c r="Q145" s="2"/>
      <c r="R145" s="2"/>
    </row>
    <row r="146" spans="1:18" x14ac:dyDescent="0.2">
      <c r="A146" s="2"/>
      <c r="B146" s="2"/>
      <c r="C146" s="74"/>
      <c r="D146" s="74"/>
      <c r="E146" s="74"/>
      <c r="F146" s="74"/>
      <c r="G146" s="74"/>
      <c r="H146" s="74"/>
      <c r="I146" s="74"/>
      <c r="J146" s="74"/>
      <c r="K146" s="192"/>
      <c r="L146" s="192"/>
      <c r="M146" s="75"/>
      <c r="N146" s="2"/>
      <c r="O146" s="2"/>
      <c r="P146" s="2"/>
      <c r="Q146" s="2"/>
      <c r="R146" s="2"/>
    </row>
    <row r="147" spans="1:18" x14ac:dyDescent="0.2">
      <c r="A147" s="2"/>
      <c r="B147" s="2"/>
      <c r="C147" s="74"/>
      <c r="D147" s="74"/>
      <c r="E147" s="74"/>
      <c r="F147" s="74"/>
      <c r="G147" s="74"/>
      <c r="H147" s="74"/>
      <c r="I147" s="74"/>
      <c r="J147" s="74"/>
      <c r="K147" s="192"/>
      <c r="L147" s="192"/>
      <c r="M147" s="75"/>
      <c r="N147" s="2"/>
      <c r="O147" s="2"/>
      <c r="P147" s="2"/>
      <c r="Q147" s="2"/>
      <c r="R147" s="2"/>
    </row>
    <row r="148" spans="1:18" x14ac:dyDescent="0.2">
      <c r="A148" s="2"/>
      <c r="B148" s="2"/>
      <c r="C148" s="74"/>
      <c r="D148" s="74"/>
      <c r="E148" s="74"/>
      <c r="F148" s="74"/>
      <c r="G148" s="74"/>
      <c r="H148" s="74"/>
      <c r="I148" s="74"/>
      <c r="J148" s="74"/>
      <c r="K148" s="192"/>
      <c r="L148" s="192"/>
      <c r="M148" s="75"/>
      <c r="N148" s="2"/>
      <c r="O148" s="2"/>
      <c r="P148" s="2"/>
      <c r="Q148" s="2"/>
      <c r="R148" s="2"/>
    </row>
    <row r="149" spans="1:18" ht="15.75" x14ac:dyDescent="0.25">
      <c r="A149" s="76"/>
      <c r="B149" s="2"/>
      <c r="C149" s="74"/>
      <c r="D149" s="74"/>
      <c r="E149" s="74"/>
      <c r="F149" s="74"/>
      <c r="G149" s="74"/>
      <c r="H149" s="74"/>
      <c r="I149" s="74"/>
      <c r="J149" s="74"/>
      <c r="K149" s="192"/>
      <c r="L149" s="192"/>
      <c r="M149" s="75"/>
      <c r="N149" s="2"/>
      <c r="O149" s="2"/>
      <c r="P149" s="2"/>
      <c r="Q149" s="2"/>
      <c r="R149" s="2"/>
    </row>
    <row r="150" spans="1:18" x14ac:dyDescent="0.2">
      <c r="A150" s="2"/>
      <c r="B150" s="2"/>
      <c r="C150" s="74"/>
      <c r="D150" s="74"/>
      <c r="E150" s="74"/>
      <c r="F150" s="74"/>
      <c r="G150" s="74"/>
      <c r="H150" s="74"/>
      <c r="I150" s="74"/>
      <c r="J150" s="74"/>
      <c r="K150" s="192"/>
      <c r="L150" s="192"/>
      <c r="M150" s="75"/>
      <c r="N150" s="2"/>
      <c r="O150" s="2"/>
      <c r="P150" s="2"/>
      <c r="Q150" s="2"/>
      <c r="R150" s="2"/>
    </row>
    <row r="151" spans="1:18" x14ac:dyDescent="0.2">
      <c r="A151" s="2"/>
      <c r="B151" s="2"/>
      <c r="C151" s="74"/>
      <c r="D151" s="74"/>
      <c r="E151" s="74"/>
      <c r="F151" s="74"/>
      <c r="G151" s="74"/>
      <c r="H151" s="74"/>
      <c r="I151" s="74"/>
      <c r="J151" s="74"/>
      <c r="K151" s="192"/>
      <c r="L151" s="192"/>
      <c r="M151" s="75"/>
      <c r="N151" s="2"/>
      <c r="O151" s="2"/>
      <c r="P151" s="2"/>
      <c r="Q151" s="2"/>
      <c r="R151" s="2"/>
    </row>
    <row r="152" spans="1:18" ht="15.75" x14ac:dyDescent="0.25">
      <c r="A152" s="76"/>
      <c r="B152" s="76"/>
      <c r="C152" s="74"/>
      <c r="D152" s="74"/>
      <c r="E152" s="74"/>
      <c r="F152" s="74"/>
      <c r="G152" s="74"/>
      <c r="H152" s="74"/>
      <c r="I152" s="74"/>
      <c r="J152" s="74"/>
      <c r="K152" s="192"/>
      <c r="L152" s="192"/>
      <c r="M152" s="75"/>
      <c r="N152" s="2"/>
      <c r="O152" s="2"/>
      <c r="P152" s="2"/>
      <c r="Q152" s="2"/>
      <c r="R152" s="2"/>
    </row>
    <row r="153" spans="1:18" x14ac:dyDescent="0.2">
      <c r="A153" s="2"/>
      <c r="B153" s="2"/>
      <c r="C153" s="74"/>
      <c r="D153" s="74"/>
      <c r="E153" s="74"/>
      <c r="F153" s="74"/>
      <c r="G153" s="74"/>
      <c r="H153" s="74"/>
      <c r="I153" s="74"/>
      <c r="J153" s="74"/>
      <c r="K153" s="192"/>
      <c r="L153" s="192"/>
      <c r="M153" s="75"/>
      <c r="N153" s="2"/>
      <c r="O153" s="2"/>
      <c r="P153" s="2"/>
      <c r="Q153" s="2"/>
      <c r="R153" s="2"/>
    </row>
    <row r="154" spans="1:18" x14ac:dyDescent="0.2">
      <c r="A154" s="2"/>
      <c r="B154" s="2"/>
      <c r="C154" s="74"/>
      <c r="D154" s="74"/>
      <c r="E154" s="74"/>
      <c r="F154" s="74"/>
      <c r="G154" s="74"/>
      <c r="H154" s="74"/>
      <c r="I154" s="74"/>
      <c r="J154" s="74"/>
      <c r="K154" s="192"/>
      <c r="L154" s="192"/>
      <c r="M154" s="75"/>
      <c r="N154" s="2"/>
      <c r="O154" s="2"/>
      <c r="P154" s="2"/>
      <c r="Q154" s="2"/>
      <c r="R154" s="2"/>
    </row>
    <row r="155" spans="1:18" x14ac:dyDescent="0.2">
      <c r="A155" s="2"/>
      <c r="B155" s="2"/>
      <c r="C155" s="74"/>
      <c r="D155" s="74"/>
      <c r="E155" s="74"/>
      <c r="F155" s="74"/>
      <c r="G155" s="74"/>
      <c r="H155" s="74"/>
      <c r="I155" s="74"/>
      <c r="J155" s="74"/>
      <c r="K155" s="192"/>
      <c r="L155" s="192"/>
      <c r="M155" s="75"/>
      <c r="N155" s="2"/>
      <c r="O155" s="2"/>
      <c r="P155" s="2"/>
      <c r="Q155" s="2"/>
      <c r="R155" s="2"/>
    </row>
    <row r="156" spans="1:18" x14ac:dyDescent="0.2">
      <c r="A156" s="2"/>
      <c r="B156" s="2"/>
      <c r="C156" s="74"/>
      <c r="D156" s="74"/>
      <c r="E156" s="74"/>
      <c r="F156" s="74"/>
      <c r="G156" s="74"/>
      <c r="H156" s="74"/>
      <c r="I156" s="74"/>
      <c r="J156" s="74"/>
      <c r="K156" s="192"/>
      <c r="L156" s="192"/>
      <c r="M156" s="75"/>
      <c r="N156" s="2"/>
      <c r="O156" s="2"/>
      <c r="P156" s="2"/>
      <c r="Q156" s="2"/>
      <c r="R156" s="2"/>
    </row>
    <row r="157" spans="1:18" x14ac:dyDescent="0.2">
      <c r="A157" s="2"/>
      <c r="B157" s="2"/>
      <c r="C157" s="74"/>
      <c r="D157" s="74"/>
      <c r="E157" s="74"/>
      <c r="F157" s="74"/>
      <c r="G157" s="74"/>
      <c r="H157" s="74"/>
      <c r="I157" s="74"/>
      <c r="J157" s="74"/>
      <c r="K157" s="192"/>
      <c r="L157" s="192"/>
      <c r="M157" s="75"/>
      <c r="N157" s="2"/>
      <c r="O157" s="2"/>
      <c r="P157" s="2"/>
      <c r="Q157" s="2"/>
      <c r="R157" s="2"/>
    </row>
    <row r="158" spans="1:18" x14ac:dyDescent="0.2">
      <c r="A158" s="2"/>
      <c r="B158" s="2"/>
      <c r="C158" s="74"/>
      <c r="D158" s="74"/>
      <c r="E158" s="74"/>
      <c r="F158" s="74"/>
      <c r="G158" s="74"/>
      <c r="H158" s="74"/>
      <c r="I158" s="74"/>
      <c r="J158" s="74"/>
      <c r="K158" s="192"/>
      <c r="L158" s="192"/>
      <c r="M158" s="75"/>
      <c r="N158" s="2"/>
      <c r="O158" s="2"/>
      <c r="P158" s="2"/>
      <c r="Q158" s="2"/>
      <c r="R158" s="2"/>
    </row>
    <row r="159" spans="1:18" x14ac:dyDescent="0.2">
      <c r="A159" s="2"/>
      <c r="B159" s="2"/>
      <c r="C159" s="74"/>
      <c r="D159" s="74"/>
      <c r="E159" s="74"/>
      <c r="F159" s="74"/>
      <c r="G159" s="74"/>
      <c r="H159" s="74"/>
      <c r="I159" s="74"/>
      <c r="J159" s="74"/>
      <c r="K159" s="192"/>
      <c r="L159" s="192"/>
      <c r="M159" s="75"/>
      <c r="N159" s="2"/>
      <c r="O159" s="2"/>
      <c r="P159" s="2"/>
      <c r="Q159" s="2"/>
      <c r="R159" s="2"/>
    </row>
    <row r="160" spans="1:18" x14ac:dyDescent="0.2">
      <c r="A160" s="2"/>
      <c r="B160" s="2"/>
      <c r="C160" s="74"/>
      <c r="D160" s="74"/>
      <c r="E160" s="74"/>
      <c r="F160" s="74"/>
      <c r="G160" s="74"/>
      <c r="H160" s="74"/>
      <c r="I160" s="74"/>
      <c r="J160" s="74"/>
      <c r="K160" s="192"/>
      <c r="L160" s="192"/>
      <c r="M160" s="75"/>
      <c r="N160" s="2"/>
      <c r="O160" s="2"/>
      <c r="P160" s="2"/>
      <c r="Q160" s="2"/>
      <c r="R160" s="2"/>
    </row>
    <row r="161" spans="1:18" x14ac:dyDescent="0.2">
      <c r="A161" s="2"/>
      <c r="B161" s="2"/>
      <c r="C161" s="74"/>
      <c r="D161" s="74"/>
      <c r="E161" s="74"/>
      <c r="F161" s="74"/>
      <c r="G161" s="74"/>
      <c r="H161" s="74"/>
      <c r="I161" s="74"/>
      <c r="J161" s="74"/>
      <c r="K161" s="192"/>
      <c r="L161" s="192"/>
      <c r="M161" s="75"/>
      <c r="N161" s="2"/>
      <c r="O161" s="2"/>
      <c r="P161" s="2"/>
      <c r="Q161" s="2"/>
      <c r="R161" s="2"/>
    </row>
    <row r="162" spans="1:18" x14ac:dyDescent="0.2">
      <c r="A162" s="2"/>
      <c r="B162" s="2"/>
      <c r="C162" s="74"/>
      <c r="D162" s="74"/>
      <c r="E162" s="74"/>
      <c r="F162" s="74"/>
      <c r="G162" s="74"/>
      <c r="H162" s="74"/>
      <c r="I162" s="74"/>
      <c r="J162" s="74"/>
      <c r="K162" s="192"/>
      <c r="L162" s="192"/>
      <c r="M162" s="75"/>
      <c r="N162" s="2"/>
      <c r="O162" s="2"/>
      <c r="P162" s="2"/>
      <c r="Q162" s="2"/>
      <c r="R162" s="2"/>
    </row>
    <row r="163" spans="1:18" x14ac:dyDescent="0.2">
      <c r="A163" s="2"/>
      <c r="B163" s="2"/>
      <c r="C163" s="74"/>
      <c r="D163" s="74"/>
      <c r="E163" s="74"/>
      <c r="F163" s="74"/>
      <c r="G163" s="74"/>
      <c r="H163" s="74"/>
      <c r="I163" s="74"/>
      <c r="J163" s="74"/>
      <c r="K163" s="192"/>
      <c r="L163" s="192"/>
      <c r="M163" s="75"/>
      <c r="N163" s="2"/>
      <c r="O163" s="2"/>
      <c r="P163" s="2"/>
      <c r="Q163" s="2"/>
      <c r="R163" s="2"/>
    </row>
    <row r="164" spans="1:18" x14ac:dyDescent="0.2">
      <c r="A164" s="2"/>
      <c r="B164" s="2"/>
      <c r="C164" s="74"/>
      <c r="D164" s="74"/>
      <c r="E164" s="74"/>
      <c r="F164" s="74"/>
      <c r="G164" s="74"/>
      <c r="H164" s="74"/>
      <c r="I164" s="74"/>
      <c r="J164" s="74"/>
      <c r="K164" s="192"/>
      <c r="L164" s="192"/>
      <c r="M164" s="75"/>
      <c r="N164" s="2"/>
      <c r="O164" s="2"/>
      <c r="P164" s="2"/>
      <c r="Q164" s="2"/>
      <c r="R164" s="2"/>
    </row>
    <row r="165" spans="1:18" x14ac:dyDescent="0.2">
      <c r="A165" s="2"/>
      <c r="B165" s="2"/>
      <c r="C165" s="74"/>
      <c r="D165" s="74"/>
      <c r="E165" s="74"/>
      <c r="F165" s="74"/>
      <c r="G165" s="74"/>
      <c r="H165" s="74"/>
      <c r="I165" s="74"/>
      <c r="J165" s="74"/>
      <c r="K165" s="192"/>
      <c r="L165" s="192"/>
      <c r="M165" s="75"/>
      <c r="N165" s="2"/>
      <c r="O165" s="2"/>
      <c r="P165" s="2"/>
      <c r="Q165" s="2"/>
      <c r="R165" s="2"/>
    </row>
    <row r="166" spans="1:18" x14ac:dyDescent="0.2">
      <c r="A166" s="2"/>
      <c r="B166" s="2"/>
      <c r="C166" s="74"/>
      <c r="D166" s="74"/>
      <c r="E166" s="74"/>
      <c r="F166" s="74"/>
      <c r="G166" s="74"/>
      <c r="H166" s="74"/>
      <c r="I166" s="74"/>
      <c r="J166" s="74"/>
      <c r="K166" s="192"/>
      <c r="L166" s="192"/>
      <c r="M166" s="75"/>
      <c r="N166" s="2"/>
      <c r="O166" s="2"/>
      <c r="P166" s="2"/>
      <c r="Q166" s="2"/>
      <c r="R166" s="2"/>
    </row>
    <row r="167" spans="1:18" x14ac:dyDescent="0.2">
      <c r="A167" s="2"/>
      <c r="B167" s="2"/>
      <c r="C167" s="74"/>
      <c r="D167" s="74"/>
      <c r="E167" s="74"/>
      <c r="F167" s="74"/>
      <c r="G167" s="74"/>
      <c r="H167" s="74"/>
      <c r="I167" s="74"/>
      <c r="J167" s="74"/>
      <c r="K167" s="192"/>
      <c r="L167" s="192"/>
      <c r="M167" s="75"/>
      <c r="N167" s="2"/>
      <c r="O167" s="2"/>
      <c r="P167" s="2"/>
      <c r="Q167" s="2"/>
      <c r="R167" s="2"/>
    </row>
    <row r="168" spans="1:18" x14ac:dyDescent="0.2">
      <c r="A168" s="2"/>
      <c r="B168" s="2"/>
      <c r="C168" s="74"/>
      <c r="D168" s="74"/>
      <c r="E168" s="74"/>
      <c r="F168" s="74"/>
      <c r="G168" s="74"/>
      <c r="H168" s="74"/>
      <c r="I168" s="74"/>
      <c r="J168" s="74"/>
      <c r="K168" s="192"/>
      <c r="L168" s="192"/>
      <c r="M168" s="75"/>
      <c r="N168" s="2"/>
      <c r="O168" s="2"/>
      <c r="P168" s="2"/>
      <c r="Q168" s="2"/>
      <c r="R168" s="2"/>
    </row>
    <row r="169" spans="1:18" x14ac:dyDescent="0.2">
      <c r="A169" s="2"/>
      <c r="B169" s="2"/>
      <c r="C169" s="74"/>
      <c r="D169" s="74"/>
      <c r="E169" s="74"/>
      <c r="F169" s="74"/>
      <c r="G169" s="74"/>
      <c r="H169" s="74"/>
      <c r="I169" s="74"/>
      <c r="J169" s="74"/>
      <c r="K169" s="192"/>
      <c r="L169" s="192"/>
      <c r="M169" s="75"/>
      <c r="N169" s="2"/>
      <c r="O169" s="2"/>
      <c r="P169" s="2"/>
      <c r="Q169" s="2"/>
      <c r="R169" s="2"/>
    </row>
    <row r="170" spans="1:18" x14ac:dyDescent="0.2">
      <c r="A170" s="2"/>
      <c r="B170" s="2"/>
      <c r="C170" s="74"/>
      <c r="D170" s="74"/>
      <c r="E170" s="74"/>
      <c r="F170" s="74"/>
      <c r="G170" s="74"/>
      <c r="H170" s="74"/>
      <c r="I170" s="74"/>
      <c r="J170" s="74"/>
      <c r="K170" s="192"/>
      <c r="L170" s="192"/>
      <c r="M170" s="75"/>
      <c r="N170" s="2"/>
      <c r="O170" s="2"/>
      <c r="P170" s="2"/>
      <c r="Q170" s="2"/>
      <c r="R170" s="2"/>
    </row>
    <row r="171" spans="1:18" x14ac:dyDescent="0.2">
      <c r="A171" s="2"/>
      <c r="B171" s="2"/>
      <c r="C171" s="74"/>
      <c r="D171" s="74"/>
      <c r="E171" s="74"/>
      <c r="F171" s="74"/>
      <c r="G171" s="74"/>
      <c r="H171" s="74"/>
      <c r="I171" s="74"/>
      <c r="J171" s="74"/>
      <c r="K171" s="192"/>
      <c r="L171" s="192"/>
      <c r="M171" s="75"/>
      <c r="N171" s="2"/>
      <c r="O171" s="2"/>
      <c r="P171" s="2"/>
      <c r="Q171" s="2"/>
      <c r="R171" s="2"/>
    </row>
    <row r="172" spans="1:18" x14ac:dyDescent="0.2">
      <c r="A172" s="2"/>
      <c r="B172" s="2"/>
      <c r="C172" s="74"/>
      <c r="D172" s="74"/>
      <c r="E172" s="74"/>
      <c r="F172" s="74"/>
      <c r="G172" s="74"/>
      <c r="H172" s="74"/>
      <c r="I172" s="74"/>
      <c r="J172" s="74"/>
      <c r="K172" s="192"/>
      <c r="L172" s="192"/>
      <c r="M172" s="75"/>
      <c r="N172" s="2"/>
      <c r="O172" s="2"/>
      <c r="P172" s="2"/>
      <c r="Q172" s="2"/>
      <c r="R172" s="2"/>
    </row>
    <row r="173" spans="1:18" x14ac:dyDescent="0.2">
      <c r="A173" s="2"/>
      <c r="B173" s="2"/>
      <c r="C173" s="74"/>
      <c r="D173" s="74"/>
      <c r="E173" s="74"/>
      <c r="F173" s="74"/>
      <c r="G173" s="74"/>
      <c r="H173" s="74"/>
      <c r="I173" s="74"/>
      <c r="J173" s="74"/>
      <c r="K173" s="192"/>
      <c r="L173" s="192"/>
      <c r="M173" s="75"/>
      <c r="N173" s="2"/>
      <c r="O173" s="2"/>
      <c r="P173" s="2"/>
      <c r="Q173" s="2"/>
      <c r="R173" s="2"/>
    </row>
    <row r="174" spans="1:18" x14ac:dyDescent="0.2">
      <c r="A174" s="2"/>
      <c r="B174" s="2"/>
      <c r="C174" s="74"/>
      <c r="D174" s="74"/>
      <c r="E174" s="74"/>
      <c r="F174" s="74"/>
      <c r="G174" s="74"/>
      <c r="H174" s="74"/>
      <c r="I174" s="74"/>
      <c r="J174" s="74"/>
      <c r="K174" s="192"/>
      <c r="L174" s="192"/>
      <c r="M174" s="75"/>
      <c r="N174" s="2"/>
      <c r="O174" s="2"/>
      <c r="P174" s="2"/>
      <c r="Q174" s="2"/>
      <c r="R174" s="2"/>
    </row>
    <row r="175" spans="1:18" x14ac:dyDescent="0.2">
      <c r="A175" s="2"/>
      <c r="B175" s="2"/>
      <c r="C175" s="74"/>
      <c r="D175" s="74"/>
      <c r="E175" s="74"/>
      <c r="F175" s="74"/>
      <c r="G175" s="74"/>
      <c r="H175" s="74"/>
      <c r="I175" s="74"/>
      <c r="J175" s="74"/>
      <c r="K175" s="192"/>
      <c r="L175" s="192"/>
      <c r="M175" s="75"/>
      <c r="N175" s="2"/>
      <c r="O175" s="2"/>
      <c r="P175" s="2"/>
      <c r="Q175" s="2"/>
      <c r="R175" s="2"/>
    </row>
    <row r="176" spans="1:18" x14ac:dyDescent="0.2">
      <c r="A176" s="2"/>
      <c r="B176" s="2"/>
      <c r="C176" s="74"/>
      <c r="D176" s="74"/>
      <c r="E176" s="74"/>
      <c r="F176" s="74"/>
      <c r="G176" s="74"/>
      <c r="H176" s="74"/>
      <c r="I176" s="74"/>
      <c r="J176" s="74"/>
      <c r="K176" s="192"/>
      <c r="L176" s="192"/>
      <c r="M176" s="75"/>
      <c r="N176" s="2"/>
      <c r="O176" s="2"/>
      <c r="P176" s="2"/>
      <c r="Q176" s="2"/>
      <c r="R176" s="2"/>
    </row>
    <row r="177" spans="1:18" x14ac:dyDescent="0.2">
      <c r="A177" s="2"/>
      <c r="B177" s="2"/>
      <c r="C177" s="74"/>
      <c r="D177" s="74"/>
      <c r="E177" s="74"/>
      <c r="F177" s="74"/>
      <c r="G177" s="74"/>
      <c r="H177" s="74"/>
      <c r="I177" s="74"/>
      <c r="J177" s="74"/>
      <c r="K177" s="192"/>
      <c r="L177" s="192"/>
      <c r="M177" s="75"/>
      <c r="N177" s="2"/>
      <c r="O177" s="2"/>
      <c r="P177" s="2"/>
      <c r="Q177" s="2"/>
      <c r="R177" s="2"/>
    </row>
    <row r="178" spans="1:18" x14ac:dyDescent="0.2">
      <c r="A178" s="2"/>
      <c r="B178" s="2"/>
      <c r="C178" s="74"/>
      <c r="D178" s="74"/>
      <c r="E178" s="74"/>
      <c r="F178" s="74"/>
      <c r="G178" s="74"/>
      <c r="H178" s="74"/>
      <c r="I178" s="74"/>
      <c r="J178" s="74"/>
      <c r="K178" s="192"/>
      <c r="L178" s="192"/>
      <c r="M178" s="75"/>
      <c r="N178" s="2"/>
      <c r="O178" s="2"/>
      <c r="P178" s="2"/>
      <c r="Q178" s="2"/>
      <c r="R178" s="2"/>
    </row>
    <row r="179" spans="1:18" x14ac:dyDescent="0.2">
      <c r="A179" s="2"/>
      <c r="B179" s="2"/>
      <c r="C179" s="74"/>
      <c r="D179" s="74"/>
      <c r="E179" s="74"/>
      <c r="F179" s="74"/>
      <c r="G179" s="74"/>
      <c r="H179" s="74"/>
      <c r="I179" s="74"/>
      <c r="J179" s="74"/>
      <c r="K179" s="192"/>
      <c r="L179" s="192"/>
      <c r="M179" s="75"/>
      <c r="N179" s="2"/>
      <c r="O179" s="2"/>
      <c r="P179" s="2"/>
      <c r="Q179" s="2"/>
      <c r="R179" s="2"/>
    </row>
    <row r="180" spans="1:18" x14ac:dyDescent="0.2">
      <c r="A180" s="2"/>
      <c r="B180" s="2"/>
      <c r="C180" s="74"/>
      <c r="D180" s="74"/>
      <c r="E180" s="74"/>
      <c r="F180" s="74"/>
      <c r="G180" s="74"/>
      <c r="H180" s="74"/>
      <c r="I180" s="74"/>
      <c r="J180" s="74"/>
      <c r="K180" s="192"/>
      <c r="L180" s="192"/>
      <c r="M180" s="75"/>
      <c r="N180" s="2"/>
      <c r="O180" s="2"/>
      <c r="P180" s="2"/>
      <c r="Q180" s="2"/>
      <c r="R180" s="2"/>
    </row>
    <row r="181" spans="1:18" x14ac:dyDescent="0.2">
      <c r="A181" s="2"/>
      <c r="B181" s="2"/>
      <c r="C181" s="74"/>
      <c r="D181" s="74"/>
      <c r="E181" s="74"/>
      <c r="F181" s="74"/>
      <c r="G181" s="74"/>
      <c r="H181" s="74"/>
      <c r="I181" s="74"/>
      <c r="J181" s="74"/>
      <c r="K181" s="192"/>
      <c r="L181" s="192"/>
      <c r="M181" s="75"/>
      <c r="N181" s="2"/>
      <c r="O181" s="2"/>
      <c r="P181" s="2"/>
      <c r="Q181" s="2"/>
      <c r="R181" s="2"/>
    </row>
    <row r="182" spans="1:18" x14ac:dyDescent="0.2">
      <c r="A182" s="2"/>
      <c r="B182" s="2"/>
      <c r="C182" s="74"/>
      <c r="D182" s="74"/>
      <c r="E182" s="74"/>
      <c r="F182" s="74"/>
      <c r="G182" s="74"/>
      <c r="H182" s="74"/>
      <c r="I182" s="74"/>
      <c r="J182" s="74"/>
      <c r="K182" s="192"/>
      <c r="L182" s="192"/>
      <c r="M182" s="75"/>
      <c r="N182" s="2"/>
      <c r="O182" s="2"/>
      <c r="P182" s="2"/>
      <c r="Q182" s="2"/>
      <c r="R182" s="2"/>
    </row>
    <row r="183" spans="1:18" x14ac:dyDescent="0.2">
      <c r="A183" s="2"/>
      <c r="B183" s="2"/>
      <c r="C183" s="74"/>
      <c r="D183" s="74"/>
      <c r="E183" s="74"/>
      <c r="F183" s="74"/>
      <c r="G183" s="74"/>
      <c r="H183" s="74"/>
      <c r="I183" s="74"/>
      <c r="J183" s="74"/>
      <c r="K183" s="192"/>
      <c r="L183" s="192"/>
      <c r="M183" s="75"/>
      <c r="N183" s="2"/>
      <c r="O183" s="2"/>
      <c r="P183" s="2"/>
      <c r="Q183" s="2"/>
      <c r="R183" s="2"/>
    </row>
    <row r="184" spans="1:18" x14ac:dyDescent="0.2">
      <c r="A184" s="2"/>
      <c r="B184" s="2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x14ac:dyDescent="0.2">
      <c r="A185" s="2"/>
      <c r="B185" s="2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2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x14ac:dyDescent="0.2">
      <c r="A187" s="2"/>
      <c r="B187" s="2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2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2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2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2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2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2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5"/>
      <c r="N193" s="2"/>
      <c r="O193" s="2"/>
      <c r="P193" s="2"/>
      <c r="Q193" s="2"/>
      <c r="R193" s="2"/>
    </row>
    <row r="194" spans="1:18" x14ac:dyDescent="0.2">
      <c r="A194" s="2"/>
      <c r="B194" s="2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5"/>
      <c r="N194" s="2"/>
      <c r="O194" s="2"/>
      <c r="P194" s="2"/>
      <c r="Q194" s="2"/>
      <c r="R194" s="2"/>
    </row>
    <row r="195" spans="1:18" x14ac:dyDescent="0.2">
      <c r="A195" s="2"/>
      <c r="B195" s="2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5"/>
      <c r="N195" s="2"/>
      <c r="O195" s="2"/>
      <c r="P195" s="2"/>
      <c r="Q195" s="2"/>
      <c r="R195" s="2"/>
    </row>
    <row r="196" spans="1:18" x14ac:dyDescent="0.2">
      <c r="A196" s="2"/>
      <c r="B196" s="2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x14ac:dyDescent="0.2">
      <c r="A197" s="2"/>
      <c r="B197" s="2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2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2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2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2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2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2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2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2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2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2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2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2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2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2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2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2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2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2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2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2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2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2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2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2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2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2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2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2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2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2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2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2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2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4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1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4414062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9.44140625" style="80" customWidth="1"/>
    <col min="15" max="15" width="13.8867187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73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65</v>
      </c>
      <c r="E7" s="275" t="s">
        <v>56</v>
      </c>
      <c r="F7" s="84" t="s">
        <v>63</v>
      </c>
      <c r="G7" s="84" t="s">
        <v>67</v>
      </c>
      <c r="H7" s="84" t="s">
        <v>66</v>
      </c>
      <c r="I7" s="84" t="s">
        <v>52</v>
      </c>
      <c r="J7" s="84" t="s">
        <v>25</v>
      </c>
      <c r="K7" s="84" t="s">
        <v>53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DATE(2020,7,1)</f>
        <v>44013</v>
      </c>
      <c r="B10" s="89">
        <f>'MONTHLY STATS'!$C$9*2</f>
        <v>376666</v>
      </c>
      <c r="C10" s="89">
        <f>'MONTHLY STATS'!$C$15*2</f>
        <v>158942</v>
      </c>
      <c r="D10" s="89">
        <f>'MONTHLY STATS'!$C$21*2</f>
        <v>106210</v>
      </c>
      <c r="E10" s="89">
        <f>'MONTHLY STATS'!$C$27*2</f>
        <v>452472</v>
      </c>
      <c r="F10" s="89">
        <f>'MONTHLY STATS'!$C$33*2</f>
        <v>521570</v>
      </c>
      <c r="G10" s="89">
        <f>'MONTHLY STATS'!$C$39*2</f>
        <v>151956</v>
      </c>
      <c r="H10" s="89">
        <f>'MONTHLY STATS'!$C$45*2</f>
        <v>179564</v>
      </c>
      <c r="I10" s="89">
        <f>'MONTHLY STATS'!$C$51*2</f>
        <v>396916</v>
      </c>
      <c r="J10" s="89">
        <f>'MONTHLY STATS'!$C$57*2</f>
        <v>422942</v>
      </c>
      <c r="K10" s="89">
        <f>'MONTHLY STATS'!$C$63*2</f>
        <v>446984</v>
      </c>
      <c r="L10" s="89">
        <f>'MONTHLY STATS'!$C$69*2</f>
        <v>86452</v>
      </c>
      <c r="M10" s="89">
        <f>'MONTHLY STATS'!$C$75*2</f>
        <v>632878</v>
      </c>
      <c r="N10" s="89">
        <f>'MONTHLY STATS'!$C$81*2</f>
        <v>122676</v>
      </c>
      <c r="O10" s="90">
        <f>SUM(B10:N10)</f>
        <v>4056228</v>
      </c>
      <c r="P10" s="83"/>
    </row>
    <row r="11" spans="1:16" ht="15.75" x14ac:dyDescent="0.25">
      <c r="A11" s="88">
        <f>DATE(2020,8,1)</f>
        <v>44044</v>
      </c>
      <c r="B11" s="89">
        <f>'MONTHLY STATS'!$C$10*2</f>
        <v>386252</v>
      </c>
      <c r="C11" s="89">
        <f>'MONTHLY STATS'!$C$16*2</f>
        <v>176468</v>
      </c>
      <c r="D11" s="89">
        <f>'MONTHLY STATS'!$C$22*2</f>
        <v>105220</v>
      </c>
      <c r="E11" s="89">
        <f>'MONTHLY STATS'!$C$28*2</f>
        <v>497732</v>
      </c>
      <c r="F11" s="89">
        <f>'MONTHLY STATS'!$C$34*2</f>
        <v>535796</v>
      </c>
      <c r="G11" s="89">
        <f>'MONTHLY STATS'!$C$40*2</f>
        <v>150102</v>
      </c>
      <c r="H11" s="89">
        <f>'MONTHLY STATS'!$C$46*2</f>
        <v>181532</v>
      </c>
      <c r="I11" s="89">
        <f>'MONTHLY STATS'!$C$52*2</f>
        <v>414340</v>
      </c>
      <c r="J11" s="89">
        <f>'MONTHLY STATS'!$C$58*2</f>
        <v>451204</v>
      </c>
      <c r="K11" s="89">
        <f>'MONTHLY STATS'!$C$64*2</f>
        <v>486344</v>
      </c>
      <c r="L11" s="89">
        <f>'MONTHLY STATS'!$C$70*2</f>
        <v>93412</v>
      </c>
      <c r="M11" s="89">
        <f>'MONTHLY STATS'!$C$76*2</f>
        <v>610790</v>
      </c>
      <c r="N11" s="89">
        <f>'MONTHLY STATS'!$C$82*2</f>
        <v>123710</v>
      </c>
      <c r="O11" s="90">
        <f>SUM(B11:N11)</f>
        <v>4212902</v>
      </c>
      <c r="P11" s="83"/>
    </row>
    <row r="12" spans="1:16" ht="15.75" x14ac:dyDescent="0.25">
      <c r="A12" s="88">
        <f>DATE(2020,9,1)</f>
        <v>44075</v>
      </c>
      <c r="B12" s="89">
        <f>'MONTHLY STATS'!$C$11*2</f>
        <v>393508</v>
      </c>
      <c r="C12" s="89">
        <f>'MONTHLY STATS'!$C$17*2</f>
        <v>181896</v>
      </c>
      <c r="D12" s="89">
        <f>'MONTHLY STATS'!$C$23*2</f>
        <v>101704</v>
      </c>
      <c r="E12" s="89">
        <f>'MONTHLY STATS'!$C$29*2</f>
        <v>499142</v>
      </c>
      <c r="F12" s="89">
        <f>'MONTHLY STATS'!$C$35*2</f>
        <v>491416</v>
      </c>
      <c r="G12" s="89">
        <f>'MONTHLY STATS'!$C$41*2</f>
        <v>152116</v>
      </c>
      <c r="H12" s="89">
        <f>'MONTHLY STATS'!$C$47*2</f>
        <v>227832</v>
      </c>
      <c r="I12" s="89">
        <f>'MONTHLY STATS'!$C$53*2</f>
        <v>429138</v>
      </c>
      <c r="J12" s="89">
        <f>'MONTHLY STATS'!$C$59*2</f>
        <v>449654</v>
      </c>
      <c r="K12" s="89">
        <f>'MONTHLY STATS'!$C$65*2</f>
        <v>517978</v>
      </c>
      <c r="L12" s="89">
        <f>'MONTHLY STATS'!$C$71*2</f>
        <v>89310</v>
      </c>
      <c r="M12" s="89">
        <f>'MONTHLY STATS'!$C$77*2</f>
        <v>636982</v>
      </c>
      <c r="N12" s="89">
        <f>'MONTHLY STATS'!$C$83*2</f>
        <v>116462</v>
      </c>
      <c r="O12" s="90">
        <f>SUM(B12:N12)</f>
        <v>4287138</v>
      </c>
      <c r="P12" s="83"/>
    </row>
    <row r="13" spans="1:16" ht="15.75" x14ac:dyDescent="0.25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  <c r="P13" s="83"/>
    </row>
    <row r="14" spans="1:16" ht="15.75" x14ac:dyDescent="0.2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  <c r="P14" s="83"/>
    </row>
    <row r="15" spans="1:16" ht="15.75" x14ac:dyDescent="0.2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3"/>
    </row>
    <row r="16" spans="1:16" ht="15.75" x14ac:dyDescent="0.2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83"/>
    </row>
    <row r="17" spans="1:16" ht="15.75" x14ac:dyDescent="0.2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83"/>
    </row>
    <row r="18" spans="1:16" ht="15.75" x14ac:dyDescent="0.2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83"/>
    </row>
    <row r="19" spans="1:16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0">SUM(B10:B21)</f>
        <v>1156426</v>
      </c>
      <c r="C23" s="90">
        <f t="shared" si="0"/>
        <v>517306</v>
      </c>
      <c r="D23" s="90">
        <f t="shared" si="0"/>
        <v>313134</v>
      </c>
      <c r="E23" s="90">
        <f t="shared" si="0"/>
        <v>1449346</v>
      </c>
      <c r="F23" s="90">
        <f t="shared" si="0"/>
        <v>1548782</v>
      </c>
      <c r="G23" s="90">
        <f>SUM(G10:G21)</f>
        <v>454174</v>
      </c>
      <c r="H23" s="90">
        <f t="shared" si="0"/>
        <v>588928</v>
      </c>
      <c r="I23" s="90">
        <f>SUM(I10:I21)</f>
        <v>1240394</v>
      </c>
      <c r="J23" s="90">
        <f t="shared" si="0"/>
        <v>1323800</v>
      </c>
      <c r="K23" s="90">
        <f>SUM(K10:K21)</f>
        <v>1451306</v>
      </c>
      <c r="L23" s="90">
        <f t="shared" si="0"/>
        <v>269174</v>
      </c>
      <c r="M23" s="90">
        <f t="shared" si="0"/>
        <v>1880650</v>
      </c>
      <c r="N23" s="90">
        <f t="shared" si="0"/>
        <v>362848</v>
      </c>
      <c r="O23" s="90">
        <f t="shared" si="0"/>
        <v>12556268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65</v>
      </c>
      <c r="E28" s="275" t="s">
        <v>56</v>
      </c>
      <c r="F28" s="84" t="s">
        <v>63</v>
      </c>
      <c r="G28" s="84" t="s">
        <v>67</v>
      </c>
      <c r="H28" s="84" t="s">
        <v>66</v>
      </c>
      <c r="I28" s="84" t="s">
        <v>52</v>
      </c>
      <c r="J28" s="84" t="s">
        <v>25</v>
      </c>
      <c r="K28" s="106" t="s">
        <v>53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DATE(2020,7,1)</f>
        <v>44013</v>
      </c>
      <c r="B31" s="89">
        <f>'MONTHLY STATS'!$K$9*0.21</f>
        <v>2859195.1269</v>
      </c>
      <c r="C31" s="89">
        <f>'MONTHLY STATS'!$K$15*0.21</f>
        <v>1178796.7863</v>
      </c>
      <c r="D31" s="89">
        <f>'MONTHLY STATS'!$K$21*0.21</f>
        <v>728228.88599999994</v>
      </c>
      <c r="E31" s="89">
        <f>'MONTHLY STATS'!$K$27*0.21</f>
        <v>3061575.4994999999</v>
      </c>
      <c r="F31" s="89">
        <f>'MONTHLY STATS'!$K$33*0.21</f>
        <v>3317763.2228999999</v>
      </c>
      <c r="G31" s="89">
        <f>'MONTHLY STATS'!$K$39*0.21</f>
        <v>1051497.2097</v>
      </c>
      <c r="H31" s="89">
        <f>'MONTHLY STATS'!$K$45*0.21</f>
        <v>955954.13549999997</v>
      </c>
      <c r="I31" s="89">
        <f>'MONTHLY STATS'!$K$51*0.21</f>
        <v>2398867.7516999999</v>
      </c>
      <c r="J31" s="89">
        <f>'MONTHLY STATS'!$K$57*0.21</f>
        <v>2903763.5780999996</v>
      </c>
      <c r="K31" s="89">
        <f>'MONTHLY STATS'!$K$63*0.21</f>
        <v>3157895.2607999998</v>
      </c>
      <c r="L31" s="89">
        <f>'MONTHLY STATS'!$K$69*0.21</f>
        <v>624400.86450000003</v>
      </c>
      <c r="M31" s="89">
        <f>'MONTHLY STATS'!$K$75*0.21</f>
        <v>4772441.4800999993</v>
      </c>
      <c r="N31" s="89">
        <f>'MONTHLY STATS'!$K$81*0.21</f>
        <v>737749.38089999999</v>
      </c>
      <c r="O31" s="90">
        <f>SUM(B31:N31)</f>
        <v>27748129.1829</v>
      </c>
      <c r="P31" s="83"/>
    </row>
    <row r="32" spans="1:16" ht="15.75" x14ac:dyDescent="0.25">
      <c r="A32" s="88">
        <f>DATE(2020,8,1)</f>
        <v>44044</v>
      </c>
      <c r="B32" s="89">
        <f>'MONTHLY STATS'!$K$10*0.21</f>
        <v>2651031.0833999999</v>
      </c>
      <c r="C32" s="89">
        <f>'MONTHLY STATS'!$K$16*0.21</f>
        <v>1258855.9683000001</v>
      </c>
      <c r="D32" s="89">
        <f>'MONTHLY STATS'!$K$22*0.21</f>
        <v>692227.40999999992</v>
      </c>
      <c r="E32" s="89">
        <f>'MONTHLY STATS'!$K$28*0.21</f>
        <v>3170806.4156999998</v>
      </c>
      <c r="F32" s="89">
        <f>'MONTHLY STATS'!$K$34*0.21</f>
        <v>3274393.2648</v>
      </c>
      <c r="G32" s="89">
        <f>'MONTHLY STATS'!$K$40*0.21</f>
        <v>1042214.6279999999</v>
      </c>
      <c r="H32" s="89">
        <f>'MONTHLY STATS'!$K$46*0.21</f>
        <v>924689.3459999999</v>
      </c>
      <c r="I32" s="89">
        <f>'MONTHLY STATS'!$K$52*0.21</f>
        <v>2536431.8153999997</v>
      </c>
      <c r="J32" s="89">
        <f>'MONTHLY STATS'!$K$58*0.21</f>
        <v>3012089.7827999997</v>
      </c>
      <c r="K32" s="89">
        <f>'MONTHLY STATS'!$K$64*0.21</f>
        <v>3332804.7480000001</v>
      </c>
      <c r="L32" s="89">
        <f>'MONTHLY STATS'!$K$70*0.21</f>
        <v>645271.1621999999</v>
      </c>
      <c r="M32" s="89">
        <f>'MONTHLY STATS'!$K$76*0.21</f>
        <v>4362897.6908999998</v>
      </c>
      <c r="N32" s="89">
        <f>'MONTHLY STATS'!$K$82*0.21</f>
        <v>745142.79839999997</v>
      </c>
      <c r="O32" s="90">
        <f>SUM(B32:N32)</f>
        <v>27648856.113899998</v>
      </c>
      <c r="P32" s="83"/>
    </row>
    <row r="33" spans="1:16" ht="15.75" x14ac:dyDescent="0.25">
      <c r="A33" s="88">
        <f>DATE(2020,9,1)</f>
        <v>44075</v>
      </c>
      <c r="B33" s="89">
        <f>'MONTHLY STATS'!$K$11*0.21</f>
        <v>2610141.7838999997</v>
      </c>
      <c r="C33" s="89">
        <f>'MONTHLY STATS'!$K$17*0.21</f>
        <v>1240836.3785999999</v>
      </c>
      <c r="D33" s="89">
        <f>'MONTHLY STATS'!$K$23*0.21</f>
        <v>651075.1128</v>
      </c>
      <c r="E33" s="89">
        <f>'MONTHLY STATS'!$K$29*0.21</f>
        <v>3135831.1277999999</v>
      </c>
      <c r="F33" s="89">
        <f>'MONTHLY STATS'!$K$35*0.21</f>
        <v>3087248.5980000002</v>
      </c>
      <c r="G33" s="89">
        <f>'MONTHLY STATS'!$K$41*0.21</f>
        <v>1046144.2025999998</v>
      </c>
      <c r="H33" s="89">
        <f>'MONTHLY STATS'!$K$47*0.21</f>
        <v>1124784.6645</v>
      </c>
      <c r="I33" s="89">
        <f>'MONTHLY STATS'!$K$53*0.21</f>
        <v>2423322.7283999999</v>
      </c>
      <c r="J33" s="89">
        <f>'MONTHLY STATS'!$K$59*0.21</f>
        <v>2854444.1562000001</v>
      </c>
      <c r="K33" s="89">
        <f>'MONTHLY STATS'!$K$65*0.21</f>
        <v>3445275.7394999997</v>
      </c>
      <c r="L33" s="89">
        <f>'MONTHLY STATS'!$K$71*0.21</f>
        <v>591393.38789999997</v>
      </c>
      <c r="M33" s="89">
        <f>'MONTHLY STATS'!$K$77*0.21</f>
        <v>4283428.3064999999</v>
      </c>
      <c r="N33" s="89">
        <f>'MONTHLY STATS'!$K$83*0.21</f>
        <v>673628.92379999999</v>
      </c>
      <c r="O33" s="90">
        <f>SUM(B33:N33)</f>
        <v>27167555.110499997</v>
      </c>
      <c r="P33" s="83"/>
    </row>
    <row r="34" spans="1:16" ht="15.75" x14ac:dyDescent="0.25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83"/>
    </row>
    <row r="35" spans="1:16" ht="15.75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83"/>
    </row>
    <row r="36" spans="1:16" ht="15.75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83"/>
    </row>
    <row r="37" spans="1:16" ht="15.75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83"/>
    </row>
    <row r="38" spans="1:16" ht="15.75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83"/>
    </row>
    <row r="39" spans="1:16" ht="15.75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83"/>
    </row>
    <row r="40" spans="1:16" ht="15.75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1">SUM(B31:B42)</f>
        <v>8120367.9942000005</v>
      </c>
      <c r="C44" s="90">
        <f t="shared" si="1"/>
        <v>3678489.1332</v>
      </c>
      <c r="D44" s="90">
        <f t="shared" si="1"/>
        <v>2071531.4087999999</v>
      </c>
      <c r="E44" s="90">
        <f t="shared" si="1"/>
        <v>9368213.0429999996</v>
      </c>
      <c r="F44" s="90">
        <f t="shared" si="1"/>
        <v>9679405.0857000016</v>
      </c>
      <c r="G44" s="90">
        <f t="shared" si="1"/>
        <v>3139856.0403</v>
      </c>
      <c r="H44" s="90">
        <f t="shared" si="1"/>
        <v>3005428.1459999997</v>
      </c>
      <c r="I44" s="90">
        <f>SUM(I31:I42)</f>
        <v>7358622.2954999991</v>
      </c>
      <c r="J44" s="90">
        <f t="shared" si="1"/>
        <v>8770297.5170999989</v>
      </c>
      <c r="K44" s="90">
        <f>SUM(K31:K42)</f>
        <v>9935975.7482999992</v>
      </c>
      <c r="L44" s="90">
        <f t="shared" si="1"/>
        <v>1861065.4145999998</v>
      </c>
      <c r="M44" s="90">
        <f t="shared" si="1"/>
        <v>13418767.477499999</v>
      </c>
      <c r="N44" s="90">
        <f t="shared" si="1"/>
        <v>2156521.1030999999</v>
      </c>
      <c r="O44" s="90">
        <f t="shared" si="1"/>
        <v>82564540.407299995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x14ac:dyDescent="0.2">
      <c r="A48" s="287"/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</row>
    <row r="49" spans="1:9" ht="15.75" x14ac:dyDescent="0.25">
      <c r="A49" s="115" t="s">
        <v>29</v>
      </c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115"/>
      <c r="B50" s="98"/>
      <c r="C50" s="98"/>
      <c r="D50" s="98"/>
      <c r="E50" s="98"/>
      <c r="F50" s="98"/>
      <c r="G50" s="98"/>
      <c r="H50" s="98"/>
      <c r="I50" s="98"/>
    </row>
    <row r="51" spans="1:9" ht="15.75" x14ac:dyDescent="0.25">
      <c r="A51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2"/>
  <sheetViews>
    <sheetView showOutlineSymbols="0" topLeftCell="A59" zoomScaleNormal="100" workbookViewId="0">
      <selection activeCell="E89" sqref="E89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74</v>
      </c>
      <c r="B3" s="117"/>
      <c r="C3" s="200"/>
      <c r="D3" s="200"/>
      <c r="E3" s="200"/>
      <c r="F3" s="117"/>
      <c r="G3" s="210"/>
    </row>
    <row r="4" spans="1:8" x14ac:dyDescent="0.2">
      <c r="A4" s="284" t="s">
        <v>75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DATE(2020,7,1)</f>
        <v>44013</v>
      </c>
      <c r="C9" s="204">
        <v>9990468.4100000001</v>
      </c>
      <c r="D9" s="204">
        <v>1959351.91</v>
      </c>
      <c r="E9" s="204">
        <v>2192281.5</v>
      </c>
      <c r="F9" s="132">
        <f>(+D9-E9)/E9</f>
        <v>-0.10624985431843496</v>
      </c>
      <c r="G9" s="215">
        <f>D9/C9</f>
        <v>0.19612212657003936</v>
      </c>
      <c r="H9" s="123"/>
    </row>
    <row r="10" spans="1:8" ht="15.75" x14ac:dyDescent="0.25">
      <c r="A10" s="130"/>
      <c r="B10" s="131">
        <f>DATE(2020,8,1)</f>
        <v>44044</v>
      </c>
      <c r="C10" s="204">
        <v>8751467</v>
      </c>
      <c r="D10" s="204">
        <v>1567013</v>
      </c>
      <c r="E10" s="204">
        <v>1845303</v>
      </c>
      <c r="F10" s="132">
        <f>(+D10-E10)/E10</f>
        <v>-0.1508099211890947</v>
      </c>
      <c r="G10" s="215">
        <f>D10/C10</f>
        <v>0.17905717978482921</v>
      </c>
      <c r="H10" s="123"/>
    </row>
    <row r="11" spans="1:8" ht="15.75" x14ac:dyDescent="0.25">
      <c r="A11" s="130"/>
      <c r="B11" s="131">
        <f>DATE(2020,9,1)</f>
        <v>44075</v>
      </c>
      <c r="C11" s="204">
        <v>8691740</v>
      </c>
      <c r="D11" s="204">
        <v>1378249</v>
      </c>
      <c r="E11" s="204">
        <v>1703371</v>
      </c>
      <c r="F11" s="132">
        <f>(+D11-E11)/E11</f>
        <v>-0.19086975180392293</v>
      </c>
      <c r="G11" s="215">
        <f>D11/C11</f>
        <v>0.15856997563203684</v>
      </c>
      <c r="H11" s="123"/>
    </row>
    <row r="12" spans="1:8" ht="15.75" thickBot="1" x14ac:dyDescent="0.25">
      <c r="A12" s="133"/>
      <c r="B12" s="134"/>
      <c r="C12" s="204"/>
      <c r="D12" s="204"/>
      <c r="E12" s="204"/>
      <c r="F12" s="132"/>
      <c r="G12" s="215"/>
      <c r="H12" s="123"/>
    </row>
    <row r="13" spans="1:8" ht="17.25" thickTop="1" thickBot="1" x14ac:dyDescent="0.3">
      <c r="A13" s="135" t="s">
        <v>14</v>
      </c>
      <c r="B13" s="136"/>
      <c r="C13" s="201">
        <f>SUM(C9:C12)</f>
        <v>27433675.41</v>
      </c>
      <c r="D13" s="201">
        <f>SUM(D9:D12)</f>
        <v>4904613.91</v>
      </c>
      <c r="E13" s="201">
        <f>SUM(E9:E12)</f>
        <v>5740955.5</v>
      </c>
      <c r="F13" s="137">
        <f>(+D13-E13)/E13</f>
        <v>-0.14567985938926017</v>
      </c>
      <c r="G13" s="212">
        <f>D13/C13</f>
        <v>0.17878078079950571</v>
      </c>
      <c r="H13" s="123"/>
    </row>
    <row r="14" spans="1:8" ht="15.75" customHeight="1" thickTop="1" x14ac:dyDescent="0.25">
      <c r="A14" s="138"/>
      <c r="B14" s="139"/>
      <c r="C14" s="205"/>
      <c r="D14" s="205"/>
      <c r="E14" s="205"/>
      <c r="F14" s="140"/>
      <c r="G14" s="216"/>
      <c r="H14" s="123"/>
    </row>
    <row r="15" spans="1:8" ht="15.75" x14ac:dyDescent="0.25">
      <c r="A15" s="19" t="s">
        <v>15</v>
      </c>
      <c r="B15" s="131">
        <f>DATE(2020,7,1)</f>
        <v>44013</v>
      </c>
      <c r="C15" s="204">
        <v>1658177</v>
      </c>
      <c r="D15" s="204">
        <v>547209</v>
      </c>
      <c r="E15" s="204">
        <v>728719</v>
      </c>
      <c r="F15" s="132">
        <f>(+D15-E15)/E15</f>
        <v>-0.24908092145257638</v>
      </c>
      <c r="G15" s="215">
        <f>D15/C15</f>
        <v>0.33000638653171527</v>
      </c>
      <c r="H15" s="123"/>
    </row>
    <row r="16" spans="1:8" ht="15.75" x14ac:dyDescent="0.25">
      <c r="A16" s="19"/>
      <c r="B16" s="131">
        <f>DATE(2020,8,1)</f>
        <v>44044</v>
      </c>
      <c r="C16" s="204">
        <v>1982325</v>
      </c>
      <c r="D16" s="204">
        <v>526001.5</v>
      </c>
      <c r="E16" s="204">
        <v>718107.5</v>
      </c>
      <c r="F16" s="132">
        <f>(+D16-E16)/E16</f>
        <v>-0.2675170500238474</v>
      </c>
      <c r="G16" s="215">
        <f>D16/C16</f>
        <v>0.26534574300379604</v>
      </c>
      <c r="H16" s="123"/>
    </row>
    <row r="17" spans="1:8" ht="15.75" x14ac:dyDescent="0.25">
      <c r="A17" s="19"/>
      <c r="B17" s="131">
        <f>DATE(2020,9,1)</f>
        <v>44075</v>
      </c>
      <c r="C17" s="204">
        <v>1922059</v>
      </c>
      <c r="D17" s="204">
        <v>401819.5</v>
      </c>
      <c r="E17" s="204">
        <v>573243</v>
      </c>
      <c r="F17" s="132">
        <f>(+D17-E17)/E17</f>
        <v>-0.29904159318125123</v>
      </c>
      <c r="G17" s="215">
        <f>D17/C17</f>
        <v>0.20905679794428786</v>
      </c>
      <c r="H17" s="123"/>
    </row>
    <row r="18" spans="1:8" ht="15.75" thickBot="1" x14ac:dyDescent="0.25">
      <c r="A18" s="133"/>
      <c r="B18" s="131"/>
      <c r="C18" s="204"/>
      <c r="D18" s="204"/>
      <c r="E18" s="204"/>
      <c r="F18" s="132"/>
      <c r="G18" s="215"/>
      <c r="H18" s="123"/>
    </row>
    <row r="19" spans="1:8" ht="17.25" thickTop="1" thickBot="1" x14ac:dyDescent="0.3">
      <c r="A19" s="135" t="s">
        <v>14</v>
      </c>
      <c r="B19" s="136"/>
      <c r="C19" s="201">
        <f>SUM(C15:C18)</f>
        <v>5562561</v>
      </c>
      <c r="D19" s="201">
        <f>SUM(D15:D18)</f>
        <v>1475030</v>
      </c>
      <c r="E19" s="201">
        <f>SUM(E15:E18)</f>
        <v>2020069.5</v>
      </c>
      <c r="F19" s="137">
        <f>(+D19-E19)/E19</f>
        <v>-0.26981225150916838</v>
      </c>
      <c r="G19" s="212">
        <f>D19/C19</f>
        <v>0.26517102464134773</v>
      </c>
      <c r="H19" s="123"/>
    </row>
    <row r="20" spans="1:8" ht="15.75" customHeight="1" thickTop="1" x14ac:dyDescent="0.25">
      <c r="A20" s="255"/>
      <c r="B20" s="139"/>
      <c r="C20" s="205"/>
      <c r="D20" s="205"/>
      <c r="E20" s="205"/>
      <c r="F20" s="140"/>
      <c r="G20" s="219"/>
      <c r="H20" s="123"/>
    </row>
    <row r="21" spans="1:8" ht="15.75" x14ac:dyDescent="0.25">
      <c r="A21" s="19" t="s">
        <v>65</v>
      </c>
      <c r="B21" s="131">
        <f>DATE(2020,7,1)</f>
        <v>44013</v>
      </c>
      <c r="C21" s="204">
        <v>1270413</v>
      </c>
      <c r="D21" s="204">
        <v>362069</v>
      </c>
      <c r="E21" s="204">
        <v>293379.5</v>
      </c>
      <c r="F21" s="132">
        <f>(+D21-E21)/E21</f>
        <v>0.23413190083151686</v>
      </c>
      <c r="G21" s="215">
        <f>D21/C21</f>
        <v>0.28500101935354882</v>
      </c>
      <c r="H21" s="123"/>
    </row>
    <row r="22" spans="1:8" ht="15.75" x14ac:dyDescent="0.25">
      <c r="A22" s="19"/>
      <c r="B22" s="131">
        <f>DATE(2020,8,1)</f>
        <v>44044</v>
      </c>
      <c r="C22" s="204">
        <v>1273813</v>
      </c>
      <c r="D22" s="204">
        <v>264520</v>
      </c>
      <c r="E22" s="204">
        <v>306469</v>
      </c>
      <c r="F22" s="132">
        <f>(+D22-E22)/E22</f>
        <v>-0.13687844447562397</v>
      </c>
      <c r="G22" s="215">
        <f>D22/C22</f>
        <v>0.20765999404936203</v>
      </c>
      <c r="H22" s="123"/>
    </row>
    <row r="23" spans="1:8" ht="15.75" x14ac:dyDescent="0.25">
      <c r="A23" s="19"/>
      <c r="B23" s="131">
        <f>DATE(2020,9,1)</f>
        <v>44075</v>
      </c>
      <c r="C23" s="204">
        <v>1439276</v>
      </c>
      <c r="D23" s="204">
        <v>282126.5</v>
      </c>
      <c r="E23" s="204">
        <v>301048.5</v>
      </c>
      <c r="F23" s="132">
        <f>(+D23-E23)/E23</f>
        <v>-6.2853659792359032E-2</v>
      </c>
      <c r="G23" s="215">
        <f>D23/C23</f>
        <v>0.19601973492228036</v>
      </c>
      <c r="H23" s="123"/>
    </row>
    <row r="24" spans="1:8" ht="15.75" thickBot="1" x14ac:dyDescent="0.25">
      <c r="A24" s="133"/>
      <c r="B24" s="131"/>
      <c r="C24" s="204"/>
      <c r="D24" s="204"/>
      <c r="E24" s="204"/>
      <c r="F24" s="132"/>
      <c r="G24" s="215"/>
      <c r="H24" s="123"/>
    </row>
    <row r="25" spans="1:8" ht="17.25" thickTop="1" thickBot="1" x14ac:dyDescent="0.3">
      <c r="A25" s="141" t="s">
        <v>14</v>
      </c>
      <c r="B25" s="142"/>
      <c r="C25" s="206">
        <f>SUM(C21:C24)</f>
        <v>3983502</v>
      </c>
      <c r="D25" s="206">
        <f>SUM(D21:D24)</f>
        <v>908715.5</v>
      </c>
      <c r="E25" s="206">
        <f>SUM(E21:E24)</f>
        <v>900897</v>
      </c>
      <c r="F25" s="143">
        <f>(+D25-E25)/E25</f>
        <v>8.6785725782192631E-3</v>
      </c>
      <c r="G25" s="217">
        <f>D25/C25</f>
        <v>0.2281197549292055</v>
      </c>
      <c r="H25" s="123"/>
    </row>
    <row r="26" spans="1:8" ht="15.75" thickTop="1" x14ac:dyDescent="0.2">
      <c r="A26" s="133"/>
      <c r="B26" s="134"/>
      <c r="C26" s="204"/>
      <c r="D26" s="204"/>
      <c r="E26" s="204"/>
      <c r="F26" s="132"/>
      <c r="G26" s="218"/>
      <c r="H26" s="123"/>
    </row>
    <row r="27" spans="1:8" ht="15.75" x14ac:dyDescent="0.25">
      <c r="A27" s="177" t="s">
        <v>59</v>
      </c>
      <c r="B27" s="131">
        <f>DATE(2020,7,1)</f>
        <v>44013</v>
      </c>
      <c r="C27" s="204">
        <v>10382905</v>
      </c>
      <c r="D27" s="204">
        <v>1708169.06</v>
      </c>
      <c r="E27" s="204">
        <v>3167330.9</v>
      </c>
      <c r="F27" s="132">
        <f>(+D27-E27)/E27</f>
        <v>-0.46069131583315148</v>
      </c>
      <c r="G27" s="215">
        <f>D27/C27</f>
        <v>0.16451745055935696</v>
      </c>
      <c r="H27" s="123"/>
    </row>
    <row r="28" spans="1:8" ht="15.75" x14ac:dyDescent="0.25">
      <c r="A28" s="177"/>
      <c r="B28" s="131">
        <f>DATE(2020,8,1)</f>
        <v>44044</v>
      </c>
      <c r="C28" s="204">
        <v>11468634</v>
      </c>
      <c r="D28" s="204">
        <v>2028826.5</v>
      </c>
      <c r="E28" s="204">
        <v>3869820.12</v>
      </c>
      <c r="F28" s="132">
        <f>(+D28-E28)/E28</f>
        <v>-0.47573105801103749</v>
      </c>
      <c r="G28" s="215">
        <f>D28/C28</f>
        <v>0.17690219253661771</v>
      </c>
      <c r="H28" s="123"/>
    </row>
    <row r="29" spans="1:8" ht="15.75" x14ac:dyDescent="0.25">
      <c r="A29" s="177"/>
      <c r="B29" s="131">
        <f>DATE(2020,9,1)</f>
        <v>44075</v>
      </c>
      <c r="C29" s="204">
        <v>10567803</v>
      </c>
      <c r="D29" s="204">
        <v>2149169</v>
      </c>
      <c r="E29" s="204">
        <v>2776000.96</v>
      </c>
      <c r="F29" s="132">
        <f>(+D29-E29)/E29</f>
        <v>-0.22580394208509205</v>
      </c>
      <c r="G29" s="215">
        <f>D29/C29</f>
        <v>0.20336951777015524</v>
      </c>
      <c r="H29" s="123"/>
    </row>
    <row r="30" spans="1:8" ht="15.75" customHeight="1" thickBot="1" x14ac:dyDescent="0.25">
      <c r="A30" s="133"/>
      <c r="B30" s="134"/>
      <c r="C30" s="204"/>
      <c r="D30" s="204"/>
      <c r="E30" s="204"/>
      <c r="F30" s="132"/>
      <c r="G30" s="215"/>
      <c r="H30" s="123"/>
    </row>
    <row r="31" spans="1:8" ht="17.25" customHeight="1" thickTop="1" thickBot="1" x14ac:dyDescent="0.3">
      <c r="A31" s="141" t="s">
        <v>14</v>
      </c>
      <c r="B31" s="142"/>
      <c r="C31" s="206">
        <f>SUM(C27:C30)</f>
        <v>32419342</v>
      </c>
      <c r="D31" s="206">
        <f>SUM(D27:D30)</f>
        <v>5886164.5600000005</v>
      </c>
      <c r="E31" s="206">
        <f>SUM(E27:E30)</f>
        <v>9813151.9800000004</v>
      </c>
      <c r="F31" s="143">
        <f>(+D31-E31)/E31</f>
        <v>-0.40017595039835507</v>
      </c>
      <c r="G31" s="217">
        <f>D31/C31</f>
        <v>0.18156335683802591</v>
      </c>
      <c r="H31" s="123"/>
    </row>
    <row r="32" spans="1:8" ht="15.75" customHeight="1" thickTop="1" x14ac:dyDescent="0.2">
      <c r="A32" s="133"/>
      <c r="B32" s="134"/>
      <c r="C32" s="204"/>
      <c r="D32" s="204"/>
      <c r="E32" s="204"/>
      <c r="F32" s="132"/>
      <c r="G32" s="218"/>
      <c r="H32" s="123"/>
    </row>
    <row r="33" spans="1:8" ht="15" customHeight="1" x14ac:dyDescent="0.25">
      <c r="A33" s="130" t="s">
        <v>63</v>
      </c>
      <c r="B33" s="131">
        <f>DATE(2020,7,1)</f>
        <v>44013</v>
      </c>
      <c r="C33" s="204">
        <v>12794651</v>
      </c>
      <c r="D33" s="204">
        <v>2410424.5</v>
      </c>
      <c r="E33" s="204">
        <v>2665528.5</v>
      </c>
      <c r="F33" s="132">
        <f>(+D33-E33)/E33</f>
        <v>-9.5704848025447861E-2</v>
      </c>
      <c r="G33" s="215">
        <f>D33/C33</f>
        <v>0.18839314179026845</v>
      </c>
      <c r="H33" s="123"/>
    </row>
    <row r="34" spans="1:8" ht="15" customHeight="1" x14ac:dyDescent="0.25">
      <c r="A34" s="130"/>
      <c r="B34" s="131">
        <f>DATE(2020,8,1)</f>
        <v>44044</v>
      </c>
      <c r="C34" s="204">
        <v>14515756</v>
      </c>
      <c r="D34" s="204">
        <v>3089216</v>
      </c>
      <c r="E34" s="204">
        <v>3359489.5</v>
      </c>
      <c r="F34" s="132">
        <f>(+D34-E34)/E34</f>
        <v>-8.0450764915324186E-2</v>
      </c>
      <c r="G34" s="215">
        <f>D34/C34</f>
        <v>0.21281812673070558</v>
      </c>
      <c r="H34" s="123"/>
    </row>
    <row r="35" spans="1:8" ht="15" customHeight="1" x14ac:dyDescent="0.25">
      <c r="A35" s="130"/>
      <c r="B35" s="131">
        <f>DATE(2020,9,1)</f>
        <v>44075</v>
      </c>
      <c r="C35" s="204">
        <v>14427547.390000001</v>
      </c>
      <c r="D35" s="204">
        <v>3482647.89</v>
      </c>
      <c r="E35" s="204">
        <v>3201605.5</v>
      </c>
      <c r="F35" s="132">
        <f>(+D35-E35)/E35</f>
        <v>8.7781705147620515E-2</v>
      </c>
      <c r="G35" s="215">
        <f>D35/C35</f>
        <v>0.24138876801845666</v>
      </c>
      <c r="H35" s="123"/>
    </row>
    <row r="36" spans="1:8" ht="15.75" thickBot="1" x14ac:dyDescent="0.25">
      <c r="A36" s="133"/>
      <c r="B36" s="131"/>
      <c r="C36" s="204"/>
      <c r="D36" s="204"/>
      <c r="E36" s="204"/>
      <c r="F36" s="132"/>
      <c r="G36" s="215"/>
      <c r="H36" s="123"/>
    </row>
    <row r="37" spans="1:8" ht="17.25" customHeight="1" thickTop="1" thickBot="1" x14ac:dyDescent="0.3">
      <c r="A37" s="141" t="s">
        <v>14</v>
      </c>
      <c r="B37" s="142"/>
      <c r="C37" s="207">
        <f>SUM(C33:C36)</f>
        <v>41737954.390000001</v>
      </c>
      <c r="D37" s="261">
        <f>SUM(D33:D36)</f>
        <v>8982288.3900000006</v>
      </c>
      <c r="E37" s="206">
        <f>SUM(E33:E36)</f>
        <v>9226623.5</v>
      </c>
      <c r="F37" s="268">
        <f>(+D37-E37)/E37</f>
        <v>-2.6481530323633495E-2</v>
      </c>
      <c r="G37" s="267">
        <f>D37/C37</f>
        <v>0.2152067230240701</v>
      </c>
      <c r="H37" s="123"/>
    </row>
    <row r="38" spans="1:8" ht="15.75" customHeight="1" thickTop="1" x14ac:dyDescent="0.25">
      <c r="A38" s="130"/>
      <c r="B38" s="134"/>
      <c r="C38" s="204"/>
      <c r="D38" s="204"/>
      <c r="E38" s="204"/>
      <c r="F38" s="132"/>
      <c r="G38" s="218"/>
      <c r="H38" s="123"/>
    </row>
    <row r="39" spans="1:8" ht="15.75" x14ac:dyDescent="0.25">
      <c r="A39" s="130" t="s">
        <v>68</v>
      </c>
      <c r="B39" s="131">
        <f>DATE(2020,7,1)</f>
        <v>44013</v>
      </c>
      <c r="C39" s="204">
        <v>2263375</v>
      </c>
      <c r="D39" s="204">
        <v>572750</v>
      </c>
      <c r="E39" s="204">
        <v>550912.5</v>
      </c>
      <c r="F39" s="132">
        <f>(+D39-E39)/E39</f>
        <v>3.9638781113153179E-2</v>
      </c>
      <c r="G39" s="215">
        <f>D39/C39</f>
        <v>0.25305130612470317</v>
      </c>
      <c r="H39" s="123"/>
    </row>
    <row r="40" spans="1:8" ht="15.75" x14ac:dyDescent="0.25">
      <c r="A40" s="130"/>
      <c r="B40" s="131">
        <f>DATE(2020,8,1)</f>
        <v>44044</v>
      </c>
      <c r="C40" s="204">
        <v>2272442</v>
      </c>
      <c r="D40" s="204">
        <v>629353.5</v>
      </c>
      <c r="E40" s="204">
        <v>544892.5</v>
      </c>
      <c r="F40" s="132">
        <f>(+D40-E40)/E40</f>
        <v>0.15500488628490941</v>
      </c>
      <c r="G40" s="215">
        <f>D40/C40</f>
        <v>0.27695030280200772</v>
      </c>
      <c r="H40" s="123"/>
    </row>
    <row r="41" spans="1:8" ht="15.75" x14ac:dyDescent="0.25">
      <c r="A41" s="130"/>
      <c r="B41" s="131">
        <f>DATE(2020,9,1)</f>
        <v>44075</v>
      </c>
      <c r="C41" s="204">
        <v>1993931</v>
      </c>
      <c r="D41" s="204">
        <v>564621.5</v>
      </c>
      <c r="E41" s="204">
        <v>648210.4</v>
      </c>
      <c r="F41" s="132">
        <f>(+D41-E41)/E41</f>
        <v>-0.12895334601234418</v>
      </c>
      <c r="G41" s="215">
        <f>D41/C41</f>
        <v>0.2831700294543793</v>
      </c>
      <c r="H41" s="123"/>
    </row>
    <row r="42" spans="1:8" ht="15.75" customHeight="1" thickBot="1" x14ac:dyDescent="0.3">
      <c r="A42" s="130"/>
      <c r="B42" s="131"/>
      <c r="C42" s="204"/>
      <c r="D42" s="204"/>
      <c r="E42" s="204"/>
      <c r="F42" s="132"/>
      <c r="G42" s="215"/>
      <c r="H42" s="123"/>
    </row>
    <row r="43" spans="1:8" ht="17.25" thickTop="1" thickBot="1" x14ac:dyDescent="0.3">
      <c r="A43" s="141" t="s">
        <v>14</v>
      </c>
      <c r="B43" s="142"/>
      <c r="C43" s="207">
        <f>SUM(C39:C42)</f>
        <v>6529748</v>
      </c>
      <c r="D43" s="261">
        <f>SUM(D39:D42)</f>
        <v>1766725</v>
      </c>
      <c r="E43" s="207">
        <f>SUM(E39:E42)</f>
        <v>1744015.4</v>
      </c>
      <c r="F43" s="268">
        <f>(+D43-E43)/E43</f>
        <v>1.3021444650087434E-2</v>
      </c>
      <c r="G43" s="267">
        <f>D43/C43</f>
        <v>0.27056557159633116</v>
      </c>
      <c r="H43" s="123"/>
    </row>
    <row r="44" spans="1:8" ht="15.75" customHeight="1" thickTop="1" x14ac:dyDescent="0.25">
      <c r="A44" s="130"/>
      <c r="B44" s="134"/>
      <c r="C44" s="204"/>
      <c r="D44" s="204"/>
      <c r="E44" s="204"/>
      <c r="F44" s="132"/>
      <c r="G44" s="218"/>
      <c r="H44" s="123"/>
    </row>
    <row r="45" spans="1:8" ht="15.75" x14ac:dyDescent="0.25">
      <c r="A45" s="130" t="s">
        <v>66</v>
      </c>
      <c r="B45" s="131">
        <f>DATE(2020,7,1)</f>
        <v>44013</v>
      </c>
      <c r="C45" s="204">
        <v>1014737</v>
      </c>
      <c r="D45" s="204">
        <v>248734.5</v>
      </c>
      <c r="E45" s="204">
        <v>255421</v>
      </c>
      <c r="F45" s="132">
        <f>(+D45-E45)/E45</f>
        <v>-2.6178348687069582E-2</v>
      </c>
      <c r="G45" s="215">
        <f>D45/C45</f>
        <v>0.24512213509510347</v>
      </c>
      <c r="H45" s="123"/>
    </row>
    <row r="46" spans="1:8" ht="15.75" x14ac:dyDescent="0.25">
      <c r="A46" s="130"/>
      <c r="B46" s="131">
        <f>DATE(2020,8,1)</f>
        <v>44044</v>
      </c>
      <c r="C46" s="204">
        <v>1314485</v>
      </c>
      <c r="D46" s="204">
        <v>268487</v>
      </c>
      <c r="E46" s="204">
        <v>366605.5</v>
      </c>
      <c r="F46" s="132">
        <f>(+D46-E46)/E46</f>
        <v>-0.26764055640190887</v>
      </c>
      <c r="G46" s="215">
        <f>D46/C46</f>
        <v>0.20425261604354558</v>
      </c>
      <c r="H46" s="123"/>
    </row>
    <row r="47" spans="1:8" ht="15.75" x14ac:dyDescent="0.25">
      <c r="A47" s="130"/>
      <c r="B47" s="131">
        <f>DATE(2020,9,1)</f>
        <v>44075</v>
      </c>
      <c r="C47" s="204">
        <v>1245407</v>
      </c>
      <c r="D47" s="204">
        <v>277957.5</v>
      </c>
      <c r="E47" s="204">
        <v>323382</v>
      </c>
      <c r="F47" s="132">
        <f>(+D47-E47)/E47</f>
        <v>-0.14046700187394476</v>
      </c>
      <c r="G47" s="215">
        <f>D47/C47</f>
        <v>0.22318607491366277</v>
      </c>
      <c r="H47" s="123"/>
    </row>
    <row r="48" spans="1:8" ht="15.75" customHeight="1" thickBot="1" x14ac:dyDescent="0.3">
      <c r="A48" s="130"/>
      <c r="B48" s="131"/>
      <c r="C48" s="204"/>
      <c r="D48" s="204"/>
      <c r="E48" s="204"/>
      <c r="F48" s="132"/>
      <c r="G48" s="215"/>
      <c r="H48" s="123"/>
    </row>
    <row r="49" spans="1:8" ht="17.25" thickTop="1" thickBot="1" x14ac:dyDescent="0.3">
      <c r="A49" s="141" t="s">
        <v>14</v>
      </c>
      <c r="B49" s="142"/>
      <c r="C49" s="207">
        <f>SUM(C45:C48)</f>
        <v>3574629</v>
      </c>
      <c r="D49" s="261">
        <f>SUM(D45:D48)</f>
        <v>795179</v>
      </c>
      <c r="E49" s="207">
        <f>SUM(E45:E48)</f>
        <v>945408.5</v>
      </c>
      <c r="F49" s="269">
        <f>(+D49-E49)/E49</f>
        <v>-0.15890432548469788</v>
      </c>
      <c r="G49" s="267">
        <f>D49/C49</f>
        <v>0.22245077740934793</v>
      </c>
      <c r="H49" s="123"/>
    </row>
    <row r="50" spans="1:8" ht="15.75" customHeight="1" thickTop="1" x14ac:dyDescent="0.25">
      <c r="A50" s="130"/>
      <c r="B50" s="139"/>
      <c r="C50" s="205"/>
      <c r="D50" s="205"/>
      <c r="E50" s="205"/>
      <c r="F50" s="140"/>
      <c r="G50" s="216"/>
      <c r="H50" s="123"/>
    </row>
    <row r="51" spans="1:8" ht="15.75" x14ac:dyDescent="0.25">
      <c r="A51" s="130" t="s">
        <v>52</v>
      </c>
      <c r="B51" s="131">
        <f>DATE(2020,7,1)</f>
        <v>44013</v>
      </c>
      <c r="C51" s="204">
        <v>3151915</v>
      </c>
      <c r="D51" s="204">
        <v>671384</v>
      </c>
      <c r="E51" s="204">
        <v>1702644.86</v>
      </c>
      <c r="F51" s="132">
        <f>(+D51-E51)/E51</f>
        <v>-0.60568171568086138</v>
      </c>
      <c r="G51" s="215">
        <f>D51/C51</f>
        <v>0.21300828226649512</v>
      </c>
      <c r="H51" s="123"/>
    </row>
    <row r="52" spans="1:8" ht="15.75" x14ac:dyDescent="0.25">
      <c r="A52" s="130"/>
      <c r="B52" s="131">
        <f>DATE(2020,8,1)</f>
        <v>44044</v>
      </c>
      <c r="C52" s="204">
        <v>3093947</v>
      </c>
      <c r="D52" s="204">
        <v>647438.06000000006</v>
      </c>
      <c r="E52" s="204">
        <v>2308275.88</v>
      </c>
      <c r="F52" s="132">
        <f>(+D52-E52)/E52</f>
        <v>-0.71951443689651162</v>
      </c>
      <c r="G52" s="215">
        <f>D52/C52</f>
        <v>0.2092595833089578</v>
      </c>
      <c r="H52" s="123"/>
    </row>
    <row r="53" spans="1:8" ht="15.75" x14ac:dyDescent="0.25">
      <c r="A53" s="130"/>
      <c r="B53" s="131">
        <f>DATE(2020,9,1)</f>
        <v>44075</v>
      </c>
      <c r="C53" s="204">
        <v>3761958</v>
      </c>
      <c r="D53" s="204">
        <v>476389</v>
      </c>
      <c r="E53" s="204">
        <v>1996051.56</v>
      </c>
      <c r="F53" s="132">
        <f>(+D53-E53)/E53</f>
        <v>-0.76133432144408131</v>
      </c>
      <c r="G53" s="215">
        <f>D53/C53</f>
        <v>0.12663325853186028</v>
      </c>
      <c r="H53" s="123"/>
    </row>
    <row r="54" spans="1:8" ht="15.75" customHeight="1" thickBot="1" x14ac:dyDescent="0.3">
      <c r="A54" s="130"/>
      <c r="B54" s="131"/>
      <c r="C54" s="204"/>
      <c r="D54" s="204"/>
      <c r="E54" s="204"/>
      <c r="F54" s="132"/>
      <c r="G54" s="215"/>
      <c r="H54" s="123"/>
    </row>
    <row r="55" spans="1:8" ht="17.25" thickTop="1" thickBot="1" x14ac:dyDescent="0.3">
      <c r="A55" s="141" t="s">
        <v>14</v>
      </c>
      <c r="B55" s="142"/>
      <c r="C55" s="206">
        <f>SUM(C51:C54)</f>
        <v>10007820</v>
      </c>
      <c r="D55" s="206">
        <f>SUM(D51:D54)</f>
        <v>1795211.06</v>
      </c>
      <c r="E55" s="206">
        <f>SUM(E51:E54)</f>
        <v>6006972.3000000007</v>
      </c>
      <c r="F55" s="143">
        <f>(+D55-E55)/E55</f>
        <v>-0.7011454406074088</v>
      </c>
      <c r="G55" s="217">
        <f>D55/C55</f>
        <v>0.17938083019079082</v>
      </c>
      <c r="H55" s="123"/>
    </row>
    <row r="56" spans="1:8" ht="15.75" customHeight="1" thickTop="1" x14ac:dyDescent="0.25">
      <c r="A56" s="138"/>
      <c r="B56" s="139"/>
      <c r="C56" s="205"/>
      <c r="D56" s="205"/>
      <c r="E56" s="205"/>
      <c r="F56" s="140"/>
      <c r="G56" s="216"/>
      <c r="H56" s="123"/>
    </row>
    <row r="57" spans="1:8" ht="15.75" x14ac:dyDescent="0.25">
      <c r="A57" s="130" t="s">
        <v>16</v>
      </c>
      <c r="B57" s="131">
        <f>DATE(2020,7,1)</f>
        <v>44013</v>
      </c>
      <c r="C57" s="204">
        <v>8611169</v>
      </c>
      <c r="D57" s="204">
        <v>1702806.5</v>
      </c>
      <c r="E57" s="204">
        <v>2126431.5</v>
      </c>
      <c r="F57" s="132">
        <f>(+D57-E57)/E57</f>
        <v>-0.19921873805951426</v>
      </c>
      <c r="G57" s="215">
        <f>D57/C57</f>
        <v>0.19774394161814732</v>
      </c>
      <c r="H57" s="123"/>
    </row>
    <row r="58" spans="1:8" ht="15.75" x14ac:dyDescent="0.25">
      <c r="A58" s="130"/>
      <c r="B58" s="131">
        <f>DATE(2020,8,1)</f>
        <v>44044</v>
      </c>
      <c r="C58" s="204">
        <v>7982010</v>
      </c>
      <c r="D58" s="204">
        <v>1570570.5</v>
      </c>
      <c r="E58" s="204">
        <v>2726871</v>
      </c>
      <c r="F58" s="132">
        <f>(+D58-E58)/E58</f>
        <v>-0.4240393109905089</v>
      </c>
      <c r="G58" s="215">
        <f>D58/C58</f>
        <v>0.1967637850616574</v>
      </c>
      <c r="H58" s="123"/>
    </row>
    <row r="59" spans="1:8" ht="15.75" x14ac:dyDescent="0.25">
      <c r="A59" s="130"/>
      <c r="B59" s="131">
        <f>DATE(2020,9,1)</f>
        <v>44075</v>
      </c>
      <c r="C59" s="204">
        <v>8162396</v>
      </c>
      <c r="D59" s="204">
        <v>1447626.5</v>
      </c>
      <c r="E59" s="204">
        <v>2679876</v>
      </c>
      <c r="F59" s="132">
        <f>(+D59-E59)/E59</f>
        <v>-0.45981586461463142</v>
      </c>
      <c r="G59" s="215">
        <f>D59/C59</f>
        <v>0.17735313258508897</v>
      </c>
      <c r="H59" s="123"/>
    </row>
    <row r="60" spans="1:8" ht="15.75" customHeight="1" thickBot="1" x14ac:dyDescent="0.3">
      <c r="A60" s="130"/>
      <c r="B60" s="131"/>
      <c r="C60" s="204"/>
      <c r="D60" s="204"/>
      <c r="E60" s="204"/>
      <c r="F60" s="132"/>
      <c r="G60" s="215"/>
      <c r="H60" s="123"/>
    </row>
    <row r="61" spans="1:8" ht="17.25" thickTop="1" thickBot="1" x14ac:dyDescent="0.3">
      <c r="A61" s="141" t="s">
        <v>14</v>
      </c>
      <c r="B61" s="142"/>
      <c r="C61" s="206">
        <f>SUM(C57:C60)</f>
        <v>24755575</v>
      </c>
      <c r="D61" s="206">
        <f>SUM(D57:D60)</f>
        <v>4721003.5</v>
      </c>
      <c r="E61" s="206">
        <f>SUM(E57:E60)</f>
        <v>7533178.5</v>
      </c>
      <c r="F61" s="143">
        <f>(+D61-E61)/E61</f>
        <v>-0.37330523895059703</v>
      </c>
      <c r="G61" s="217">
        <f>D61/C61</f>
        <v>0.19070465945549639</v>
      </c>
      <c r="H61" s="123"/>
    </row>
    <row r="62" spans="1:8" ht="15.75" customHeight="1" thickTop="1" x14ac:dyDescent="0.25">
      <c r="A62" s="138"/>
      <c r="B62" s="139"/>
      <c r="C62" s="205"/>
      <c r="D62" s="205"/>
      <c r="E62" s="205"/>
      <c r="F62" s="140"/>
      <c r="G62" s="216"/>
      <c r="H62" s="123"/>
    </row>
    <row r="63" spans="1:8" ht="15.75" x14ac:dyDescent="0.25">
      <c r="A63" s="130" t="s">
        <v>54</v>
      </c>
      <c r="B63" s="131">
        <f>DATE(2020,7,1)</f>
        <v>44013</v>
      </c>
      <c r="C63" s="204">
        <v>10453635</v>
      </c>
      <c r="D63" s="204">
        <v>1923931.33</v>
      </c>
      <c r="E63" s="204">
        <v>1977732.9</v>
      </c>
      <c r="F63" s="132">
        <f>(+D63-E63)/E63</f>
        <v>-2.7203658289751784E-2</v>
      </c>
      <c r="G63" s="215">
        <f>D63/C63</f>
        <v>0.18404424202681652</v>
      </c>
      <c r="H63" s="123"/>
    </row>
    <row r="64" spans="1:8" ht="15.75" x14ac:dyDescent="0.25">
      <c r="A64" s="130"/>
      <c r="B64" s="131">
        <f>DATE(2020,8,1)</f>
        <v>44044</v>
      </c>
      <c r="C64" s="204">
        <v>12051254</v>
      </c>
      <c r="D64" s="204">
        <v>2707272.86</v>
      </c>
      <c r="E64" s="204">
        <v>2646777.5</v>
      </c>
      <c r="F64" s="132">
        <f>(+D64-E64)/E64</f>
        <v>2.2856231776188164E-2</v>
      </c>
      <c r="G64" s="215">
        <f>D64/C64</f>
        <v>0.2246465687305238</v>
      </c>
      <c r="H64" s="123"/>
    </row>
    <row r="65" spans="1:8" ht="15.75" x14ac:dyDescent="0.25">
      <c r="A65" s="130"/>
      <c r="B65" s="131">
        <f>DATE(2020,9,1)</f>
        <v>44075</v>
      </c>
      <c r="C65" s="204">
        <v>11460638</v>
      </c>
      <c r="D65" s="204">
        <v>2773332.44</v>
      </c>
      <c r="E65" s="204">
        <v>2514781.23</v>
      </c>
      <c r="F65" s="132">
        <f>(+D65-E65)/E65</f>
        <v>0.10281260529370181</v>
      </c>
      <c r="G65" s="215">
        <f>D65/C65</f>
        <v>0.24198761360405938</v>
      </c>
      <c r="H65" s="123"/>
    </row>
    <row r="66" spans="1:8" ht="15.75" thickBot="1" x14ac:dyDescent="0.25">
      <c r="A66" s="133"/>
      <c r="B66" s="131"/>
      <c r="C66" s="204"/>
      <c r="D66" s="204"/>
      <c r="E66" s="204"/>
      <c r="F66" s="132"/>
      <c r="G66" s="215"/>
      <c r="H66" s="123"/>
    </row>
    <row r="67" spans="1:8" ht="17.25" thickTop="1" thickBot="1" x14ac:dyDescent="0.3">
      <c r="A67" s="141" t="s">
        <v>14</v>
      </c>
      <c r="B67" s="142"/>
      <c r="C67" s="207">
        <f>SUM(C63:C66)</f>
        <v>33965527</v>
      </c>
      <c r="D67" s="207">
        <f>SUM(D63:D66)</f>
        <v>7404536.629999999</v>
      </c>
      <c r="E67" s="207">
        <f>SUM(E63:E66)</f>
        <v>7139291.6300000008</v>
      </c>
      <c r="F67" s="143">
        <f>(+D67-E67)/E67</f>
        <v>3.7152845652839384E-2</v>
      </c>
      <c r="G67" s="267">
        <f>D67/C67</f>
        <v>0.21800152342697343</v>
      </c>
      <c r="H67" s="123"/>
    </row>
    <row r="68" spans="1:8" ht="15.75" customHeight="1" thickTop="1" x14ac:dyDescent="0.25">
      <c r="A68" s="138"/>
      <c r="B68" s="139"/>
      <c r="C68" s="205"/>
      <c r="D68" s="205"/>
      <c r="E68" s="205"/>
      <c r="F68" s="140"/>
      <c r="G68" s="219"/>
      <c r="H68" s="123"/>
    </row>
    <row r="69" spans="1:8" ht="15.75" x14ac:dyDescent="0.25">
      <c r="A69" s="130" t="s">
        <v>55</v>
      </c>
      <c r="B69" s="131">
        <f>DATE(2020,7,1)</f>
        <v>44013</v>
      </c>
      <c r="C69" s="204">
        <v>472126</v>
      </c>
      <c r="D69" s="204">
        <v>188605.5</v>
      </c>
      <c r="E69" s="204">
        <v>135934</v>
      </c>
      <c r="F69" s="132">
        <f>(+D69-E69)/E69</f>
        <v>0.38747848220459929</v>
      </c>
      <c r="G69" s="215">
        <f>D69/C69</f>
        <v>0.39948128253898324</v>
      </c>
      <c r="H69" s="123"/>
    </row>
    <row r="70" spans="1:8" ht="15.75" x14ac:dyDescent="0.25">
      <c r="A70" s="130"/>
      <c r="B70" s="131">
        <f>DATE(2020,8,1)</f>
        <v>44044</v>
      </c>
      <c r="C70" s="204">
        <v>370157</v>
      </c>
      <c r="D70" s="204">
        <v>111546</v>
      </c>
      <c r="E70" s="204">
        <v>134255.5</v>
      </c>
      <c r="F70" s="132">
        <f>(+D70-E70)/E70</f>
        <v>-0.16915135692764915</v>
      </c>
      <c r="G70" s="215">
        <f>D70/C70</f>
        <v>0.3013478064713081</v>
      </c>
      <c r="H70" s="123"/>
    </row>
    <row r="71" spans="1:8" ht="15.75" x14ac:dyDescent="0.25">
      <c r="A71" s="130"/>
      <c r="B71" s="131">
        <f>DATE(2020,9,1)</f>
        <v>44075</v>
      </c>
      <c r="C71" s="204">
        <v>425232</v>
      </c>
      <c r="D71" s="204">
        <v>108554</v>
      </c>
      <c r="E71" s="204">
        <v>147952</v>
      </c>
      <c r="F71" s="132">
        <f>(+D71-E71)/E71</f>
        <v>-0.26628906672434305</v>
      </c>
      <c r="G71" s="215">
        <f>D71/C71</f>
        <v>0.25528182262858862</v>
      </c>
      <c r="H71" s="123"/>
    </row>
    <row r="72" spans="1:8" ht="15.75" thickBot="1" x14ac:dyDescent="0.25">
      <c r="A72" s="133"/>
      <c r="B72" s="134"/>
      <c r="C72" s="204"/>
      <c r="D72" s="204"/>
      <c r="E72" s="204"/>
      <c r="F72" s="132"/>
      <c r="G72" s="215"/>
      <c r="H72" s="123"/>
    </row>
    <row r="73" spans="1:8" ht="17.25" thickTop="1" thickBot="1" x14ac:dyDescent="0.3">
      <c r="A73" s="144" t="s">
        <v>14</v>
      </c>
      <c r="B73" s="145"/>
      <c r="C73" s="207">
        <f>SUM(C69:C72)</f>
        <v>1267515</v>
      </c>
      <c r="D73" s="207">
        <f>SUM(D69:D72)</f>
        <v>408705.5</v>
      </c>
      <c r="E73" s="207">
        <f>SUM(E69:E72)</f>
        <v>418141.5</v>
      </c>
      <c r="F73" s="143">
        <f>(+D73-E73)/E73</f>
        <v>-2.2566523533301526E-2</v>
      </c>
      <c r="G73" s="217">
        <f>D73/C73</f>
        <v>0.32244628268698988</v>
      </c>
      <c r="H73" s="123"/>
    </row>
    <row r="74" spans="1:8" ht="15.75" customHeight="1" thickTop="1" x14ac:dyDescent="0.25">
      <c r="A74" s="130"/>
      <c r="B74" s="134"/>
      <c r="C74" s="204"/>
      <c r="D74" s="204"/>
      <c r="E74" s="204"/>
      <c r="F74" s="132"/>
      <c r="G74" s="218"/>
      <c r="H74" s="123"/>
    </row>
    <row r="75" spans="1:8" ht="15.75" x14ac:dyDescent="0.25">
      <c r="A75" s="130" t="s">
        <v>37</v>
      </c>
      <c r="B75" s="131">
        <f>DATE(2020,7,1)</f>
        <v>44013</v>
      </c>
      <c r="C75" s="204">
        <v>18681267</v>
      </c>
      <c r="D75" s="204">
        <v>4944391.55</v>
      </c>
      <c r="E75" s="204">
        <v>3678875.65</v>
      </c>
      <c r="F75" s="132">
        <f>(+D75-E75)/E75</f>
        <v>0.34399529106127846</v>
      </c>
      <c r="G75" s="215">
        <f>D75/C75</f>
        <v>0.26467110341070549</v>
      </c>
      <c r="H75" s="123"/>
    </row>
    <row r="76" spans="1:8" ht="15.75" x14ac:dyDescent="0.25">
      <c r="A76" s="130"/>
      <c r="B76" s="131">
        <f>DATE(2020,8,1)</f>
        <v>44044</v>
      </c>
      <c r="C76" s="204">
        <v>17505825</v>
      </c>
      <c r="D76" s="204">
        <v>3489579.3</v>
      </c>
      <c r="E76" s="204">
        <v>3806318.41</v>
      </c>
      <c r="F76" s="132">
        <f>(+D76-E76)/E76</f>
        <v>-8.3214034109143367E-2</v>
      </c>
      <c r="G76" s="215">
        <f>D76/C76</f>
        <v>0.19933818029141728</v>
      </c>
      <c r="H76" s="123"/>
    </row>
    <row r="77" spans="1:8" ht="15.75" x14ac:dyDescent="0.25">
      <c r="A77" s="130"/>
      <c r="B77" s="131">
        <f>DATE(2020,9,1)</f>
        <v>44075</v>
      </c>
      <c r="C77" s="204">
        <v>17711205.5</v>
      </c>
      <c r="D77" s="204">
        <v>3694673.89</v>
      </c>
      <c r="E77" s="204">
        <v>3987675.53</v>
      </c>
      <c r="F77" s="132">
        <f>(+D77-E77)/E77</f>
        <v>-7.3476800656346195E-2</v>
      </c>
      <c r="G77" s="215">
        <f>D77/C77</f>
        <v>0.20860657339219513</v>
      </c>
      <c r="H77" s="123"/>
    </row>
    <row r="78" spans="1:8" ht="15.75" thickBot="1" x14ac:dyDescent="0.25">
      <c r="A78" s="133"/>
      <c r="B78" s="134"/>
      <c r="C78" s="204"/>
      <c r="D78" s="204"/>
      <c r="E78" s="204"/>
      <c r="F78" s="132"/>
      <c r="G78" s="215"/>
      <c r="H78" s="123"/>
    </row>
    <row r="79" spans="1:8" ht="17.25" thickTop="1" thickBot="1" x14ac:dyDescent="0.3">
      <c r="A79" s="141" t="s">
        <v>14</v>
      </c>
      <c r="B79" s="142"/>
      <c r="C79" s="206">
        <f>SUM(C75:C78)</f>
        <v>53898297.5</v>
      </c>
      <c r="D79" s="207">
        <f>SUM(D75:D78)</f>
        <v>12128644.74</v>
      </c>
      <c r="E79" s="206">
        <f>SUM(E75:E78)</f>
        <v>11472869.59</v>
      </c>
      <c r="F79" s="143">
        <f>(+D79-E79)/E79</f>
        <v>5.7158773126087664E-2</v>
      </c>
      <c r="G79" s="217">
        <f>D79/C79</f>
        <v>0.22502834602521538</v>
      </c>
      <c r="H79" s="123"/>
    </row>
    <row r="80" spans="1:8" ht="15.75" customHeight="1" thickTop="1" x14ac:dyDescent="0.25">
      <c r="A80" s="130"/>
      <c r="B80" s="134"/>
      <c r="C80" s="204"/>
      <c r="D80" s="204"/>
      <c r="E80" s="204"/>
      <c r="F80" s="132"/>
      <c r="G80" s="218"/>
      <c r="H80" s="123"/>
    </row>
    <row r="81" spans="1:8" ht="15.75" x14ac:dyDescent="0.25">
      <c r="A81" s="130" t="s">
        <v>58</v>
      </c>
      <c r="B81" s="131">
        <f>DATE(2020,7,1)</f>
        <v>44013</v>
      </c>
      <c r="C81" s="204">
        <v>674370</v>
      </c>
      <c r="D81" s="204">
        <v>155770.5</v>
      </c>
      <c r="E81" s="204">
        <v>102948</v>
      </c>
      <c r="F81" s="132">
        <f>(+D81-E81)/E81</f>
        <v>0.51309884601934952</v>
      </c>
      <c r="G81" s="215">
        <f>D81/C81</f>
        <v>0.23098669869656124</v>
      </c>
      <c r="H81" s="123"/>
    </row>
    <row r="82" spans="1:8" ht="15.75" x14ac:dyDescent="0.25">
      <c r="A82" s="130"/>
      <c r="B82" s="131">
        <f>DATE(2020,8,1)</f>
        <v>44044</v>
      </c>
      <c r="C82" s="204">
        <v>698636</v>
      </c>
      <c r="D82" s="204">
        <v>187855</v>
      </c>
      <c r="E82" s="204">
        <v>208443.5</v>
      </c>
      <c r="F82" s="132">
        <f>(+D82-E82)/E82</f>
        <v>-9.8772569065478169E-2</v>
      </c>
      <c r="G82" s="215">
        <f>D82/C82</f>
        <v>0.26888823364384312</v>
      </c>
      <c r="H82" s="123"/>
    </row>
    <row r="83" spans="1:8" ht="15.75" x14ac:dyDescent="0.25">
      <c r="A83" s="130"/>
      <c r="B83" s="131">
        <f>DATE(2020,9,1)</f>
        <v>44075</v>
      </c>
      <c r="C83" s="204">
        <v>619816</v>
      </c>
      <c r="D83" s="204">
        <v>175772.5</v>
      </c>
      <c r="E83" s="204">
        <v>206651.5</v>
      </c>
      <c r="F83" s="132">
        <f>(+D83-E83)/E83</f>
        <v>-0.14942548203134262</v>
      </c>
      <c r="G83" s="215">
        <f>D83/C83</f>
        <v>0.28358819391561368</v>
      </c>
      <c r="H83" s="123"/>
    </row>
    <row r="84" spans="1:8" ht="15.75" thickBot="1" x14ac:dyDescent="0.25">
      <c r="A84" s="133"/>
      <c r="B84" s="134"/>
      <c r="C84" s="204"/>
      <c r="D84" s="204"/>
      <c r="E84" s="204"/>
      <c r="F84" s="132"/>
      <c r="G84" s="215"/>
      <c r="H84" s="123"/>
    </row>
    <row r="85" spans="1:8" ht="17.25" thickTop="1" thickBot="1" x14ac:dyDescent="0.3">
      <c r="A85" s="135" t="s">
        <v>14</v>
      </c>
      <c r="B85" s="136"/>
      <c r="C85" s="201">
        <f>SUM(C81:C84)</f>
        <v>1992822</v>
      </c>
      <c r="D85" s="207">
        <f>SUM(D81:D84)</f>
        <v>519398</v>
      </c>
      <c r="E85" s="207">
        <f>SUM(E81:E84)</f>
        <v>518043</v>
      </c>
      <c r="F85" s="143">
        <f>(+D85-E85)/E85</f>
        <v>2.6156129896552989E-3</v>
      </c>
      <c r="G85" s="217">
        <f>D85/C85</f>
        <v>0.26063441692233424</v>
      </c>
      <c r="H85" s="123"/>
    </row>
    <row r="86" spans="1:8" ht="16.5" thickTop="1" thickBot="1" x14ac:dyDescent="0.25">
      <c r="A86" s="146"/>
      <c r="B86" s="139"/>
      <c r="C86" s="205"/>
      <c r="D86" s="205"/>
      <c r="E86" s="205"/>
      <c r="F86" s="140"/>
      <c r="G86" s="216"/>
      <c r="H86" s="123"/>
    </row>
    <row r="87" spans="1:8" ht="17.25" thickTop="1" thickBot="1" x14ac:dyDescent="0.3">
      <c r="A87" s="147" t="s">
        <v>38</v>
      </c>
      <c r="B87" s="121"/>
      <c r="C87" s="201">
        <f>C85+C79+C61+C49+C37+C25+C13+C31+C73+C19+C55+C67+C43</f>
        <v>247128968.30000001</v>
      </c>
      <c r="D87" s="201">
        <f>D85+D79+D61+D49+D37+D25+D13+D31+D73+D19+D55+D67+D43</f>
        <v>51696215.790000007</v>
      </c>
      <c r="E87" s="201">
        <f>E85+E79+E61+E49+E37+E25+E13+E31+E73+E19+E55+E67+E43</f>
        <v>63479617.900000006</v>
      </c>
      <c r="F87" s="137">
        <f>(+D87-E87)/E87</f>
        <v>-0.18562496908161127</v>
      </c>
      <c r="G87" s="212">
        <f>D87/C87</f>
        <v>0.2091871954373388</v>
      </c>
      <c r="H87" s="123"/>
    </row>
    <row r="88" spans="1:8" ht="17.25" thickTop="1" thickBot="1" x14ac:dyDescent="0.3">
      <c r="A88" s="147"/>
      <c r="B88" s="121"/>
      <c r="C88" s="201"/>
      <c r="D88" s="201"/>
      <c r="E88" s="201"/>
      <c r="F88" s="137"/>
      <c r="G88" s="212"/>
      <c r="H88" s="123"/>
    </row>
    <row r="89" spans="1:8" ht="17.25" thickTop="1" thickBot="1" x14ac:dyDescent="0.3">
      <c r="A89" s="265" t="s">
        <v>39</v>
      </c>
      <c r="B89" s="266"/>
      <c r="C89" s="206">
        <f>SUM(C11+C17+C23+C29+C35+C41+C47+C53+C59+C65+C71+C77+C83)</f>
        <v>82429008.890000001</v>
      </c>
      <c r="D89" s="206">
        <f>SUM(D11+D17+D23+D29+D35+D41+D47+D53+D59+D65+D71+D77+D83)</f>
        <v>17212939.219999999</v>
      </c>
      <c r="E89" s="206">
        <f>SUM(E11+E17+E23+E29+E35+E41+E47+E53+E59+E65+E71+E77+E83)</f>
        <v>21059849.180000003</v>
      </c>
      <c r="F89" s="143">
        <f>(+D89-E89)/E89</f>
        <v>-0.18266559874765464</v>
      </c>
      <c r="G89" s="217">
        <f>D89/C89</f>
        <v>0.20882137795651953</v>
      </c>
      <c r="H89" s="123"/>
    </row>
    <row r="90" spans="1:8" ht="16.5" thickTop="1" x14ac:dyDescent="0.25">
      <c r="A90" s="256"/>
      <c r="B90" s="258"/>
      <c r="C90" s="259"/>
      <c r="D90" s="259"/>
      <c r="E90" s="259"/>
      <c r="F90" s="260"/>
      <c r="G90" s="257"/>
      <c r="H90" s="257"/>
    </row>
    <row r="91" spans="1:8" ht="18.75" x14ac:dyDescent="0.3">
      <c r="A91" s="263" t="s">
        <v>40</v>
      </c>
      <c r="B91" s="117"/>
      <c r="C91" s="208"/>
      <c r="D91" s="208"/>
      <c r="E91" s="208"/>
      <c r="F91" s="148"/>
      <c r="G91" s="220"/>
    </row>
    <row r="92" spans="1:8" ht="15.75" x14ac:dyDescent="0.25">
      <c r="A92" s="7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4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61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76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72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69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70</v>
      </c>
      <c r="E8" s="224" t="s">
        <v>70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DATE(20,7,1)</f>
        <v>7488</v>
      </c>
      <c r="C10" s="226">
        <v>0</v>
      </c>
      <c r="D10" s="226">
        <v>0</v>
      </c>
      <c r="E10" s="226">
        <v>0</v>
      </c>
      <c r="F10" s="166">
        <v>0</v>
      </c>
      <c r="G10" s="241">
        <v>0</v>
      </c>
      <c r="H10" s="242">
        <v>0</v>
      </c>
    </row>
    <row r="11" spans="1:8" ht="15.75" x14ac:dyDescent="0.25">
      <c r="A11" s="164"/>
      <c r="B11" s="165">
        <f>DATE(20,8,1)</f>
        <v>7519</v>
      </c>
      <c r="C11" s="226">
        <v>0</v>
      </c>
      <c r="D11" s="226">
        <v>0</v>
      </c>
      <c r="E11" s="226">
        <v>0</v>
      </c>
      <c r="F11" s="166">
        <v>0</v>
      </c>
      <c r="G11" s="241">
        <v>0</v>
      </c>
      <c r="H11" s="242">
        <v>0</v>
      </c>
    </row>
    <row r="12" spans="1:8" ht="15.75" x14ac:dyDescent="0.25">
      <c r="A12" s="164"/>
      <c r="B12" s="165">
        <f>DATE(20,9,1)</f>
        <v>7550</v>
      </c>
      <c r="C12" s="226"/>
      <c r="D12" s="226"/>
      <c r="E12" s="226"/>
      <c r="F12" s="166"/>
      <c r="G12" s="241"/>
      <c r="H12" s="242"/>
    </row>
    <row r="13" spans="1:8" ht="15.75" thickBot="1" x14ac:dyDescent="0.25">
      <c r="A13" s="167"/>
      <c r="B13" s="168"/>
      <c r="C13" s="226"/>
      <c r="D13" s="226"/>
      <c r="E13" s="226"/>
      <c r="F13" s="166"/>
      <c r="G13" s="241"/>
      <c r="H13" s="242"/>
    </row>
    <row r="14" spans="1:8" ht="17.25" thickTop="1" thickBot="1" x14ac:dyDescent="0.3">
      <c r="A14" s="169" t="s">
        <v>14</v>
      </c>
      <c r="B14" s="155"/>
      <c r="C14" s="223">
        <f>SUM(C10:C13)</f>
        <v>0</v>
      </c>
      <c r="D14" s="223">
        <f>SUM(D10:D13)</f>
        <v>0</v>
      </c>
      <c r="E14" s="223">
        <f>SUM(E10:E13)</f>
        <v>0</v>
      </c>
      <c r="F14" s="170">
        <v>0</v>
      </c>
      <c r="G14" s="236">
        <v>0</v>
      </c>
      <c r="H14" s="237">
        <v>0</v>
      </c>
    </row>
    <row r="15" spans="1:8" ht="15.75" thickTop="1" x14ac:dyDescent="0.2">
      <c r="A15" s="171"/>
      <c r="B15" s="172"/>
      <c r="C15" s="227"/>
      <c r="D15" s="227"/>
      <c r="E15" s="227"/>
      <c r="F15" s="173"/>
      <c r="G15" s="243"/>
      <c r="H15" s="244"/>
    </row>
    <row r="16" spans="1:8" ht="15.75" x14ac:dyDescent="0.25">
      <c r="A16" s="19" t="s">
        <v>48</v>
      </c>
      <c r="B16" s="165">
        <f>DATE(20,7,1)</f>
        <v>7488</v>
      </c>
      <c r="C16" s="226">
        <v>0</v>
      </c>
      <c r="D16" s="226">
        <v>0</v>
      </c>
      <c r="E16" s="226">
        <v>0</v>
      </c>
      <c r="F16" s="166">
        <v>0</v>
      </c>
      <c r="G16" s="241">
        <v>0</v>
      </c>
      <c r="H16" s="242">
        <v>0</v>
      </c>
    </row>
    <row r="17" spans="1:8" ht="15.75" x14ac:dyDescent="0.25">
      <c r="A17" s="19"/>
      <c r="B17" s="165">
        <f>DATE(20,8,1)</f>
        <v>7519</v>
      </c>
      <c r="C17" s="226">
        <v>0</v>
      </c>
      <c r="D17" s="226">
        <v>0</v>
      </c>
      <c r="E17" s="226">
        <v>0</v>
      </c>
      <c r="F17" s="166">
        <v>0</v>
      </c>
      <c r="G17" s="241">
        <v>0</v>
      </c>
      <c r="H17" s="242">
        <v>0</v>
      </c>
    </row>
    <row r="18" spans="1:8" ht="15.75" x14ac:dyDescent="0.25">
      <c r="A18" s="19"/>
      <c r="B18" s="165">
        <f>DATE(20,9,1)</f>
        <v>7550</v>
      </c>
      <c r="C18" s="226"/>
      <c r="D18" s="226"/>
      <c r="E18" s="226"/>
      <c r="F18" s="166"/>
      <c r="G18" s="241"/>
      <c r="H18" s="242"/>
    </row>
    <row r="19" spans="1:8" ht="15.75" thickBot="1" x14ac:dyDescent="0.25">
      <c r="A19" s="167"/>
      <c r="B19" s="165"/>
      <c r="C19" s="226"/>
      <c r="D19" s="226"/>
      <c r="E19" s="226"/>
      <c r="F19" s="166"/>
      <c r="G19" s="241"/>
      <c r="H19" s="242"/>
    </row>
    <row r="20" spans="1:8" ht="17.25" thickTop="1" thickBot="1" x14ac:dyDescent="0.3">
      <c r="A20" s="169" t="s">
        <v>14</v>
      </c>
      <c r="B20" s="155"/>
      <c r="C20" s="223">
        <f>SUM(C16:C19)</f>
        <v>0</v>
      </c>
      <c r="D20" s="223">
        <f>SUM(D16:D19)</f>
        <v>0</v>
      </c>
      <c r="E20" s="223">
        <f>SUM(E16:E19)</f>
        <v>0</v>
      </c>
      <c r="F20" s="170">
        <v>0</v>
      </c>
      <c r="G20" s="236">
        <v>0</v>
      </c>
      <c r="H20" s="237">
        <v>0</v>
      </c>
    </row>
    <row r="21" spans="1:8" ht="15.75" thickTop="1" x14ac:dyDescent="0.2">
      <c r="A21" s="171"/>
      <c r="B21" s="172"/>
      <c r="C21" s="227"/>
      <c r="D21" s="227"/>
      <c r="E21" s="227"/>
      <c r="F21" s="173"/>
      <c r="G21" s="243"/>
      <c r="H21" s="244"/>
    </row>
    <row r="22" spans="1:8" ht="15.75" x14ac:dyDescent="0.25">
      <c r="A22" s="19" t="s">
        <v>65</v>
      </c>
      <c r="B22" s="165">
        <f>DATE(20,7,1)</f>
        <v>7488</v>
      </c>
      <c r="C22" s="226">
        <v>0</v>
      </c>
      <c r="D22" s="226">
        <v>0</v>
      </c>
      <c r="E22" s="226">
        <v>0</v>
      </c>
      <c r="F22" s="166">
        <v>0</v>
      </c>
      <c r="G22" s="241">
        <v>0</v>
      </c>
      <c r="H22" s="242">
        <v>0</v>
      </c>
    </row>
    <row r="23" spans="1:8" ht="15.75" x14ac:dyDescent="0.25">
      <c r="A23" s="19"/>
      <c r="B23" s="165">
        <f>DATE(20,8,1)</f>
        <v>7519</v>
      </c>
      <c r="C23" s="226">
        <v>0</v>
      </c>
      <c r="D23" s="226">
        <v>0</v>
      </c>
      <c r="E23" s="226">
        <v>0</v>
      </c>
      <c r="F23" s="166">
        <v>0</v>
      </c>
      <c r="G23" s="241">
        <v>0</v>
      </c>
      <c r="H23" s="242">
        <v>0</v>
      </c>
    </row>
    <row r="24" spans="1:8" ht="15.75" x14ac:dyDescent="0.25">
      <c r="A24" s="19"/>
      <c r="B24" s="165">
        <f>DATE(20,9,1)</f>
        <v>7550</v>
      </c>
      <c r="C24" s="226"/>
      <c r="D24" s="226"/>
      <c r="E24" s="226"/>
      <c r="F24" s="166"/>
      <c r="G24" s="241"/>
      <c r="H24" s="242"/>
    </row>
    <row r="25" spans="1:8" ht="15.75" thickBot="1" x14ac:dyDescent="0.25">
      <c r="A25" s="167"/>
      <c r="B25" s="165"/>
      <c r="C25" s="226"/>
      <c r="D25" s="226"/>
      <c r="E25" s="226"/>
      <c r="F25" s="166"/>
      <c r="G25" s="241"/>
      <c r="H25" s="242"/>
    </row>
    <row r="26" spans="1:8" ht="17.25" thickTop="1" thickBot="1" x14ac:dyDescent="0.3">
      <c r="A26" s="174" t="s">
        <v>14</v>
      </c>
      <c r="B26" s="175"/>
      <c r="C26" s="228">
        <f>SUM(C22:C25)</f>
        <v>0</v>
      </c>
      <c r="D26" s="228">
        <f>SUM(D22:D25)</f>
        <v>0</v>
      </c>
      <c r="E26" s="228">
        <f>SUM(E22:E25)</f>
        <v>0</v>
      </c>
      <c r="F26" s="176">
        <v>0</v>
      </c>
      <c r="G26" s="245">
        <v>0</v>
      </c>
      <c r="H26" s="246">
        <v>0</v>
      </c>
    </row>
    <row r="27" spans="1:8" ht="15.75" thickTop="1" x14ac:dyDescent="0.2">
      <c r="A27" s="167"/>
      <c r="B27" s="168"/>
      <c r="C27" s="226"/>
      <c r="D27" s="226"/>
      <c r="E27" s="226"/>
      <c r="F27" s="166"/>
      <c r="G27" s="241"/>
      <c r="H27" s="242"/>
    </row>
    <row r="28" spans="1:8" ht="15.75" x14ac:dyDescent="0.25">
      <c r="A28" s="177" t="s">
        <v>59</v>
      </c>
      <c r="B28" s="165">
        <f>DATE(20,7,1)</f>
        <v>7488</v>
      </c>
      <c r="C28" s="226">
        <v>0</v>
      </c>
      <c r="D28" s="226">
        <v>0</v>
      </c>
      <c r="E28" s="226">
        <v>0</v>
      </c>
      <c r="F28" s="166">
        <v>0</v>
      </c>
      <c r="G28" s="241">
        <v>0</v>
      </c>
      <c r="H28" s="242">
        <v>0</v>
      </c>
    </row>
    <row r="29" spans="1:8" ht="15.75" x14ac:dyDescent="0.25">
      <c r="A29" s="177"/>
      <c r="B29" s="165">
        <f>DATE(20,8,1)</f>
        <v>7519</v>
      </c>
      <c r="C29" s="226">
        <v>0</v>
      </c>
      <c r="D29" s="226">
        <v>0</v>
      </c>
      <c r="E29" s="226">
        <v>0</v>
      </c>
      <c r="F29" s="166">
        <v>0</v>
      </c>
      <c r="G29" s="241">
        <v>0</v>
      </c>
      <c r="H29" s="242">
        <v>0</v>
      </c>
    </row>
    <row r="30" spans="1:8" ht="15.75" x14ac:dyDescent="0.25">
      <c r="A30" s="177"/>
      <c r="B30" s="165">
        <f>DATE(20,9,1)</f>
        <v>7550</v>
      </c>
      <c r="C30" s="226"/>
      <c r="D30" s="226"/>
      <c r="E30" s="226"/>
      <c r="F30" s="166"/>
      <c r="G30" s="241"/>
      <c r="H30" s="242"/>
    </row>
    <row r="31" spans="1:8" ht="15.75" thickBot="1" x14ac:dyDescent="0.25">
      <c r="A31" s="167"/>
      <c r="B31" s="168"/>
      <c r="C31" s="226"/>
      <c r="D31" s="226"/>
      <c r="E31" s="226"/>
      <c r="F31" s="166"/>
      <c r="G31" s="241"/>
      <c r="H31" s="242"/>
    </row>
    <row r="32" spans="1:8" ht="17.25" thickTop="1" thickBot="1" x14ac:dyDescent="0.3">
      <c r="A32" s="174" t="s">
        <v>14</v>
      </c>
      <c r="B32" s="178"/>
      <c r="C32" s="228">
        <f>SUM(C28:C31)</f>
        <v>0</v>
      </c>
      <c r="D32" s="228">
        <f>SUM(D28:D31)</f>
        <v>0</v>
      </c>
      <c r="E32" s="228">
        <f>SUM(E28:E31)</f>
        <v>0</v>
      </c>
      <c r="F32" s="176">
        <v>0</v>
      </c>
      <c r="G32" s="245">
        <v>0</v>
      </c>
      <c r="H32" s="246">
        <v>0</v>
      </c>
    </row>
    <row r="33" spans="1:8" ht="15.75" thickTop="1" x14ac:dyDescent="0.2">
      <c r="A33" s="167"/>
      <c r="B33" s="168"/>
      <c r="C33" s="226"/>
      <c r="D33" s="226"/>
      <c r="E33" s="226"/>
      <c r="F33" s="166"/>
      <c r="G33" s="241"/>
      <c r="H33" s="242"/>
    </row>
    <row r="34" spans="1:8" ht="15.75" x14ac:dyDescent="0.25">
      <c r="A34" s="164" t="s">
        <v>63</v>
      </c>
      <c r="B34" s="165">
        <f>DATE(20,7,1)</f>
        <v>7488</v>
      </c>
      <c r="C34" s="226">
        <v>0</v>
      </c>
      <c r="D34" s="226">
        <v>0</v>
      </c>
      <c r="E34" s="226">
        <v>0</v>
      </c>
      <c r="F34" s="166">
        <v>0</v>
      </c>
      <c r="G34" s="241">
        <v>0</v>
      </c>
      <c r="H34" s="242">
        <v>0</v>
      </c>
    </row>
    <row r="35" spans="1:8" ht="15.75" x14ac:dyDescent="0.25">
      <c r="A35" s="164"/>
      <c r="B35" s="165">
        <f>DATE(20,8,1)</f>
        <v>7519</v>
      </c>
      <c r="C35" s="226">
        <v>0</v>
      </c>
      <c r="D35" s="226">
        <v>0</v>
      </c>
      <c r="E35" s="226">
        <v>0</v>
      </c>
      <c r="F35" s="166">
        <v>0</v>
      </c>
      <c r="G35" s="241">
        <v>0</v>
      </c>
      <c r="H35" s="242">
        <v>0</v>
      </c>
    </row>
    <row r="36" spans="1:8" ht="15.75" x14ac:dyDescent="0.25">
      <c r="A36" s="164"/>
      <c r="B36" s="165">
        <f>DATE(20,9,1)</f>
        <v>7550</v>
      </c>
      <c r="C36" s="226"/>
      <c r="D36" s="226"/>
      <c r="E36" s="226"/>
      <c r="F36" s="166"/>
      <c r="G36" s="241"/>
      <c r="H36" s="242"/>
    </row>
    <row r="37" spans="1:8" ht="15.75" thickBot="1" x14ac:dyDescent="0.25">
      <c r="A37" s="167"/>
      <c r="B37" s="165"/>
      <c r="C37" s="226"/>
      <c r="D37" s="226"/>
      <c r="E37" s="226"/>
      <c r="F37" s="166"/>
      <c r="G37" s="241"/>
      <c r="H37" s="242"/>
    </row>
    <row r="38" spans="1:8" ht="17.25" thickTop="1" thickBot="1" x14ac:dyDescent="0.3">
      <c r="A38" s="174" t="s">
        <v>14</v>
      </c>
      <c r="B38" s="175"/>
      <c r="C38" s="228">
        <f>SUM(C34:C37)</f>
        <v>0</v>
      </c>
      <c r="D38" s="230">
        <f>SUM(D34:D37)</f>
        <v>0</v>
      </c>
      <c r="E38" s="271">
        <f>SUM(E34:E37)</f>
        <v>0</v>
      </c>
      <c r="F38" s="176">
        <v>0</v>
      </c>
      <c r="G38" s="245">
        <v>0</v>
      </c>
      <c r="H38" s="246">
        <v>0</v>
      </c>
    </row>
    <row r="39" spans="1:8" ht="15.75" thickTop="1" x14ac:dyDescent="0.2">
      <c r="A39" s="167"/>
      <c r="B39" s="168"/>
      <c r="C39" s="226"/>
      <c r="D39" s="226"/>
      <c r="E39" s="226"/>
      <c r="F39" s="166"/>
      <c r="G39" s="241"/>
      <c r="H39" s="242"/>
    </row>
    <row r="40" spans="1:8" ht="15.75" x14ac:dyDescent="0.25">
      <c r="A40" s="164" t="s">
        <v>68</v>
      </c>
      <c r="B40" s="165">
        <f>DATE(20,7,1)</f>
        <v>7488</v>
      </c>
      <c r="C40" s="226">
        <v>0</v>
      </c>
      <c r="D40" s="226">
        <v>0</v>
      </c>
      <c r="E40" s="226">
        <v>0</v>
      </c>
      <c r="F40" s="166">
        <v>0</v>
      </c>
      <c r="G40" s="241">
        <v>0</v>
      </c>
      <c r="H40" s="242">
        <v>0</v>
      </c>
    </row>
    <row r="41" spans="1:8" ht="15.75" x14ac:dyDescent="0.25">
      <c r="A41" s="164"/>
      <c r="B41" s="165">
        <f>DATE(20,8,1)</f>
        <v>7519</v>
      </c>
      <c r="C41" s="226">
        <v>0</v>
      </c>
      <c r="D41" s="226">
        <v>0</v>
      </c>
      <c r="E41" s="226">
        <v>0</v>
      </c>
      <c r="F41" s="166">
        <v>0</v>
      </c>
      <c r="G41" s="241">
        <v>0</v>
      </c>
      <c r="H41" s="242">
        <v>0</v>
      </c>
    </row>
    <row r="42" spans="1:8" ht="15.75" x14ac:dyDescent="0.25">
      <c r="A42" s="164"/>
      <c r="B42" s="165">
        <f>DATE(20,9,1)</f>
        <v>7550</v>
      </c>
      <c r="C42" s="226"/>
      <c r="D42" s="226"/>
      <c r="E42" s="226"/>
      <c r="F42" s="166"/>
      <c r="G42" s="241"/>
      <c r="H42" s="242"/>
    </row>
    <row r="43" spans="1:8" ht="15.75" thickBot="1" x14ac:dyDescent="0.25">
      <c r="A43" s="167"/>
      <c r="B43" s="165"/>
      <c r="C43" s="226"/>
      <c r="D43" s="226"/>
      <c r="E43" s="226"/>
      <c r="F43" s="166"/>
      <c r="G43" s="241"/>
      <c r="H43" s="242"/>
    </row>
    <row r="44" spans="1:8" ht="17.25" thickTop="1" thickBot="1" x14ac:dyDescent="0.3">
      <c r="A44" s="174" t="s">
        <v>14</v>
      </c>
      <c r="B44" s="175"/>
      <c r="C44" s="228">
        <f>SUM(C40:C43)</f>
        <v>0</v>
      </c>
      <c r="D44" s="230">
        <f>SUM(D40:D43)</f>
        <v>0</v>
      </c>
      <c r="E44" s="271">
        <f>SUM(E40:E43)</f>
        <v>0</v>
      </c>
      <c r="F44" s="176">
        <v>0</v>
      </c>
      <c r="G44" s="245">
        <v>0</v>
      </c>
      <c r="H44" s="246">
        <v>0</v>
      </c>
    </row>
    <row r="45" spans="1:8" ht="15.75" thickTop="1" x14ac:dyDescent="0.2">
      <c r="A45" s="167"/>
      <c r="B45" s="168"/>
      <c r="C45" s="226"/>
      <c r="D45" s="226"/>
      <c r="E45" s="226"/>
      <c r="F45" s="166"/>
      <c r="G45" s="241"/>
      <c r="H45" s="242"/>
    </row>
    <row r="46" spans="1:8" ht="15.75" x14ac:dyDescent="0.25">
      <c r="A46" s="164" t="s">
        <v>66</v>
      </c>
      <c r="B46" s="165">
        <f>DATE(20,7,1)</f>
        <v>7488</v>
      </c>
      <c r="C46" s="226">
        <v>0</v>
      </c>
      <c r="D46" s="226">
        <v>0</v>
      </c>
      <c r="E46" s="226">
        <v>0</v>
      </c>
      <c r="F46" s="166">
        <v>0</v>
      </c>
      <c r="G46" s="241">
        <v>0</v>
      </c>
      <c r="H46" s="242">
        <v>0</v>
      </c>
    </row>
    <row r="47" spans="1:8" ht="15.75" x14ac:dyDescent="0.25">
      <c r="A47" s="164"/>
      <c r="B47" s="165">
        <f>DATE(20,8,1)</f>
        <v>7519</v>
      </c>
      <c r="C47" s="226">
        <v>0</v>
      </c>
      <c r="D47" s="226">
        <v>0</v>
      </c>
      <c r="E47" s="226">
        <v>0</v>
      </c>
      <c r="F47" s="166">
        <v>0</v>
      </c>
      <c r="G47" s="241">
        <v>0</v>
      </c>
      <c r="H47" s="242">
        <v>0</v>
      </c>
    </row>
    <row r="48" spans="1:8" ht="15.75" x14ac:dyDescent="0.25">
      <c r="A48" s="164"/>
      <c r="B48" s="165">
        <f>DATE(20,9,1)</f>
        <v>7550</v>
      </c>
      <c r="C48" s="226"/>
      <c r="D48" s="226"/>
      <c r="E48" s="226"/>
      <c r="F48" s="166"/>
      <c r="G48" s="241"/>
      <c r="H48" s="242"/>
    </row>
    <row r="49" spans="1:8" ht="15.75" thickBot="1" x14ac:dyDescent="0.25">
      <c r="A49" s="167"/>
      <c r="B49" s="165"/>
      <c r="C49" s="226"/>
      <c r="D49" s="226"/>
      <c r="E49" s="226"/>
      <c r="F49" s="166"/>
      <c r="G49" s="241"/>
      <c r="H49" s="242"/>
    </row>
    <row r="50" spans="1:8" ht="17.25" thickTop="1" thickBot="1" x14ac:dyDescent="0.3">
      <c r="A50" s="174" t="s">
        <v>14</v>
      </c>
      <c r="B50" s="175"/>
      <c r="C50" s="228">
        <f>SUM(C46:C49)</f>
        <v>0</v>
      </c>
      <c r="D50" s="230">
        <f>SUM(D46:D49)</f>
        <v>0</v>
      </c>
      <c r="E50" s="271">
        <f>SUM(E46:E49)</f>
        <v>0</v>
      </c>
      <c r="F50" s="176">
        <v>0</v>
      </c>
      <c r="G50" s="245">
        <v>0</v>
      </c>
      <c r="H50" s="246">
        <v>0</v>
      </c>
    </row>
    <row r="51" spans="1:8" ht="15.75" thickTop="1" x14ac:dyDescent="0.2">
      <c r="A51" s="167"/>
      <c r="B51" s="168"/>
      <c r="C51" s="226"/>
      <c r="D51" s="226"/>
      <c r="E51" s="226"/>
      <c r="F51" s="166"/>
      <c r="G51" s="241"/>
      <c r="H51" s="242"/>
    </row>
    <row r="52" spans="1:8" ht="15.75" x14ac:dyDescent="0.25">
      <c r="A52" s="164" t="s">
        <v>60</v>
      </c>
      <c r="B52" s="165">
        <f>DATE(20,7,1)</f>
        <v>7488</v>
      </c>
      <c r="C52" s="226">
        <v>0</v>
      </c>
      <c r="D52" s="226">
        <v>0</v>
      </c>
      <c r="E52" s="226">
        <v>0</v>
      </c>
      <c r="F52" s="166">
        <v>0</v>
      </c>
      <c r="G52" s="241">
        <v>0</v>
      </c>
      <c r="H52" s="242">
        <v>0</v>
      </c>
    </row>
    <row r="53" spans="1:8" ht="15.75" x14ac:dyDescent="0.25">
      <c r="A53" s="164"/>
      <c r="B53" s="165">
        <f>DATE(20,8,1)</f>
        <v>7519</v>
      </c>
      <c r="C53" s="226">
        <v>2426243.5</v>
      </c>
      <c r="D53" s="226">
        <v>118455</v>
      </c>
      <c r="E53" s="226">
        <v>0</v>
      </c>
      <c r="F53" s="166">
        <v>1</v>
      </c>
      <c r="G53" s="241">
        <f>D53/C53</f>
        <v>4.8822387365489078E-2</v>
      </c>
      <c r="H53" s="242">
        <f>1-G53</f>
        <v>0.95117761263451095</v>
      </c>
    </row>
    <row r="54" spans="1:8" ht="15.75" x14ac:dyDescent="0.25">
      <c r="A54" s="164"/>
      <c r="B54" s="165">
        <f>DATE(20,9,1)</f>
        <v>7550</v>
      </c>
      <c r="C54" s="226">
        <v>1791988</v>
      </c>
      <c r="D54" s="226">
        <v>106241</v>
      </c>
      <c r="E54" s="226">
        <v>0</v>
      </c>
      <c r="F54" s="166">
        <v>1</v>
      </c>
      <c r="G54" s="241">
        <f>D54/C54</f>
        <v>5.9286669330374978E-2</v>
      </c>
      <c r="H54" s="242">
        <f>1-G54</f>
        <v>0.94071333066962504</v>
      </c>
    </row>
    <row r="55" spans="1:8" ht="15.75" thickBot="1" x14ac:dyDescent="0.25">
      <c r="A55" s="167"/>
      <c r="B55" s="165"/>
      <c r="C55" s="226"/>
      <c r="D55" s="226"/>
      <c r="E55" s="226"/>
      <c r="F55" s="166"/>
      <c r="G55" s="241"/>
      <c r="H55" s="242"/>
    </row>
    <row r="56" spans="1:8" ht="17.25" thickTop="1" thickBot="1" x14ac:dyDescent="0.3">
      <c r="A56" s="174" t="s">
        <v>14</v>
      </c>
      <c r="B56" s="175"/>
      <c r="C56" s="228">
        <f>SUM(C52:C55)</f>
        <v>4218231.5</v>
      </c>
      <c r="D56" s="230">
        <f>SUM(D52:D55)</f>
        <v>224696</v>
      </c>
      <c r="E56" s="271">
        <f>SUM(E52:E55)</f>
        <v>0</v>
      </c>
      <c r="F56" s="176">
        <v>1</v>
      </c>
      <c r="G56" s="249">
        <f>D56/C56</f>
        <v>5.3267820886549258E-2</v>
      </c>
      <c r="H56" s="270">
        <f>1-G56</f>
        <v>0.94673217911345076</v>
      </c>
    </row>
    <row r="57" spans="1:8" ht="15.75" thickTop="1" x14ac:dyDescent="0.2">
      <c r="A57" s="167"/>
      <c r="B57" s="179"/>
      <c r="C57" s="229"/>
      <c r="D57" s="229"/>
      <c r="E57" s="229"/>
      <c r="F57" s="180"/>
      <c r="G57" s="247"/>
      <c r="H57" s="248"/>
    </row>
    <row r="58" spans="1:8" ht="15.75" x14ac:dyDescent="0.25">
      <c r="A58" s="164" t="s">
        <v>16</v>
      </c>
      <c r="B58" s="165">
        <f>DATE(20,7,1)</f>
        <v>7488</v>
      </c>
      <c r="C58" s="226">
        <v>0</v>
      </c>
      <c r="D58" s="226">
        <v>0</v>
      </c>
      <c r="E58" s="226">
        <v>0</v>
      </c>
      <c r="F58" s="166">
        <v>0</v>
      </c>
      <c r="G58" s="241">
        <v>0</v>
      </c>
      <c r="H58" s="242">
        <v>0</v>
      </c>
    </row>
    <row r="59" spans="1:8" ht="15.75" x14ac:dyDescent="0.25">
      <c r="A59" s="164"/>
      <c r="B59" s="165">
        <f>DATE(20,8,1)</f>
        <v>7519</v>
      </c>
      <c r="C59" s="226">
        <v>0</v>
      </c>
      <c r="D59" s="226">
        <v>0</v>
      </c>
      <c r="E59" s="226">
        <v>0</v>
      </c>
      <c r="F59" s="166">
        <v>0</v>
      </c>
      <c r="G59" s="241">
        <v>0</v>
      </c>
      <c r="H59" s="242">
        <v>0</v>
      </c>
    </row>
    <row r="60" spans="1:8" ht="15.75" x14ac:dyDescent="0.25">
      <c r="A60" s="164"/>
      <c r="B60" s="165">
        <f>DATE(20,9,1)</f>
        <v>7550</v>
      </c>
      <c r="C60" s="226"/>
      <c r="D60" s="226"/>
      <c r="E60" s="226"/>
      <c r="F60" s="166"/>
      <c r="G60" s="241"/>
      <c r="H60" s="242"/>
    </row>
    <row r="61" spans="1:8" ht="16.5" thickBot="1" x14ac:dyDescent="0.3">
      <c r="A61" s="164"/>
      <c r="B61" s="165"/>
      <c r="C61" s="226"/>
      <c r="D61" s="226"/>
      <c r="E61" s="226"/>
      <c r="F61" s="166"/>
      <c r="G61" s="241"/>
      <c r="H61" s="242"/>
    </row>
    <row r="62" spans="1:8" ht="17.25" thickTop="1" thickBot="1" x14ac:dyDescent="0.3">
      <c r="A62" s="174" t="s">
        <v>14</v>
      </c>
      <c r="B62" s="181"/>
      <c r="C62" s="228">
        <f>SUM(C58:C61)</f>
        <v>0</v>
      </c>
      <c r="D62" s="228">
        <f>SUM(D58:D61)</f>
        <v>0</v>
      </c>
      <c r="E62" s="228">
        <f>SUM(E58:E61)</f>
        <v>0</v>
      </c>
      <c r="F62" s="176">
        <v>0</v>
      </c>
      <c r="G62" s="245">
        <v>0</v>
      </c>
      <c r="H62" s="246">
        <v>0</v>
      </c>
    </row>
    <row r="63" spans="1:8" ht="15.75" thickTop="1" x14ac:dyDescent="0.2">
      <c r="A63" s="171"/>
      <c r="B63" s="172"/>
      <c r="C63" s="227"/>
      <c r="D63" s="227"/>
      <c r="E63" s="227"/>
      <c r="F63" s="173"/>
      <c r="G63" s="243"/>
      <c r="H63" s="244"/>
    </row>
    <row r="64" spans="1:8" ht="15.75" x14ac:dyDescent="0.25">
      <c r="A64" s="164" t="s">
        <v>54</v>
      </c>
      <c r="B64" s="165">
        <f>DATE(20,7,1)</f>
        <v>7488</v>
      </c>
      <c r="C64" s="226">
        <v>0</v>
      </c>
      <c r="D64" s="226">
        <v>0</v>
      </c>
      <c r="E64" s="226">
        <v>0</v>
      </c>
      <c r="F64" s="166">
        <v>0</v>
      </c>
      <c r="G64" s="241">
        <v>0</v>
      </c>
      <c r="H64" s="242">
        <v>0</v>
      </c>
    </row>
    <row r="65" spans="1:8" ht="15.75" x14ac:dyDescent="0.25">
      <c r="A65" s="164"/>
      <c r="B65" s="165">
        <f>DATE(20,8,1)</f>
        <v>7519</v>
      </c>
      <c r="C65" s="226">
        <v>0</v>
      </c>
      <c r="D65" s="226">
        <v>0</v>
      </c>
      <c r="E65" s="226">
        <v>0</v>
      </c>
      <c r="F65" s="166">
        <v>0</v>
      </c>
      <c r="G65" s="241">
        <v>0</v>
      </c>
      <c r="H65" s="242">
        <v>0</v>
      </c>
    </row>
    <row r="66" spans="1:8" ht="15.75" x14ac:dyDescent="0.25">
      <c r="A66" s="164"/>
      <c r="B66" s="165">
        <f>DATE(20,9,1)</f>
        <v>7550</v>
      </c>
      <c r="C66" s="226"/>
      <c r="D66" s="226"/>
      <c r="E66" s="226"/>
      <c r="F66" s="166"/>
      <c r="G66" s="241"/>
      <c r="H66" s="242"/>
    </row>
    <row r="67" spans="1:8" ht="15.75" thickBot="1" x14ac:dyDescent="0.25">
      <c r="A67" s="167"/>
      <c r="B67" s="168"/>
      <c r="C67" s="226"/>
      <c r="D67" s="226"/>
      <c r="E67" s="226"/>
      <c r="F67" s="166"/>
      <c r="G67" s="241"/>
      <c r="H67" s="242"/>
    </row>
    <row r="68" spans="1:8" ht="17.25" thickTop="1" thickBot="1" x14ac:dyDescent="0.3">
      <c r="A68" s="174" t="s">
        <v>14</v>
      </c>
      <c r="B68" s="175"/>
      <c r="C68" s="228">
        <f>SUM(C64:C67)</f>
        <v>0</v>
      </c>
      <c r="D68" s="228">
        <f>SUM(D64:D67)</f>
        <v>0</v>
      </c>
      <c r="E68" s="228">
        <f>SUM(E64:E67)</f>
        <v>0</v>
      </c>
      <c r="F68" s="176">
        <v>0</v>
      </c>
      <c r="G68" s="245">
        <v>0</v>
      </c>
      <c r="H68" s="246">
        <v>0</v>
      </c>
    </row>
    <row r="69" spans="1:8" ht="15.75" thickTop="1" x14ac:dyDescent="0.2">
      <c r="A69" s="167"/>
      <c r="B69" s="168"/>
      <c r="C69" s="226"/>
      <c r="D69" s="226"/>
      <c r="E69" s="226"/>
      <c r="F69" s="166"/>
      <c r="G69" s="241"/>
      <c r="H69" s="242"/>
    </row>
    <row r="70" spans="1:8" ht="15.75" x14ac:dyDescent="0.25">
      <c r="A70" s="164" t="s">
        <v>55</v>
      </c>
      <c r="B70" s="165">
        <f>DATE(20,7,1)</f>
        <v>7488</v>
      </c>
      <c r="C70" s="226">
        <v>0</v>
      </c>
      <c r="D70" s="226">
        <v>0</v>
      </c>
      <c r="E70" s="226">
        <v>0</v>
      </c>
      <c r="F70" s="166">
        <v>0</v>
      </c>
      <c r="G70" s="241">
        <v>0</v>
      </c>
      <c r="H70" s="242">
        <v>0</v>
      </c>
    </row>
    <row r="71" spans="1:8" ht="15.75" x14ac:dyDescent="0.25">
      <c r="A71" s="164"/>
      <c r="B71" s="165">
        <f>DATE(20,8,1)</f>
        <v>7519</v>
      </c>
      <c r="C71" s="226">
        <v>0</v>
      </c>
      <c r="D71" s="226">
        <v>0</v>
      </c>
      <c r="E71" s="226">
        <v>0</v>
      </c>
      <c r="F71" s="166">
        <v>0</v>
      </c>
      <c r="G71" s="241">
        <v>0</v>
      </c>
      <c r="H71" s="242">
        <v>0</v>
      </c>
    </row>
    <row r="72" spans="1:8" ht="15.75" x14ac:dyDescent="0.25">
      <c r="A72" s="164"/>
      <c r="B72" s="165">
        <f>DATE(20,9,1)</f>
        <v>7550</v>
      </c>
      <c r="C72" s="226"/>
      <c r="D72" s="226"/>
      <c r="E72" s="226"/>
      <c r="F72" s="166"/>
      <c r="G72" s="241"/>
      <c r="H72" s="242"/>
    </row>
    <row r="73" spans="1:8" ht="15.75" thickBot="1" x14ac:dyDescent="0.25">
      <c r="A73" s="167"/>
      <c r="B73" s="168"/>
      <c r="C73" s="226"/>
      <c r="D73" s="226"/>
      <c r="E73" s="226"/>
      <c r="F73" s="166"/>
      <c r="G73" s="241"/>
      <c r="H73" s="242"/>
    </row>
    <row r="74" spans="1:8" ht="17.25" thickTop="1" thickBot="1" x14ac:dyDescent="0.3">
      <c r="A74" s="182" t="s">
        <v>14</v>
      </c>
      <c r="B74" s="183"/>
      <c r="C74" s="230">
        <f>SUM(C70:C73)</f>
        <v>0</v>
      </c>
      <c r="D74" s="230">
        <f>SUM(D70:D73)</f>
        <v>0</v>
      </c>
      <c r="E74" s="230">
        <f>SUM(E70:E73)</f>
        <v>0</v>
      </c>
      <c r="F74" s="176">
        <v>0</v>
      </c>
      <c r="G74" s="245">
        <v>0</v>
      </c>
      <c r="H74" s="246">
        <v>0</v>
      </c>
    </row>
    <row r="75" spans="1:8" ht="15.75" thickTop="1" x14ac:dyDescent="0.2">
      <c r="A75" s="167"/>
      <c r="B75" s="168"/>
      <c r="C75" s="226"/>
      <c r="D75" s="226"/>
      <c r="E75" s="226"/>
      <c r="F75" s="166"/>
      <c r="G75" s="241"/>
      <c r="H75" s="242"/>
    </row>
    <row r="76" spans="1:8" ht="15.75" x14ac:dyDescent="0.25">
      <c r="A76" s="164" t="s">
        <v>37</v>
      </c>
      <c r="B76" s="165">
        <f>DATE(20,7,1)</f>
        <v>7488</v>
      </c>
      <c r="C76" s="226">
        <v>0</v>
      </c>
      <c r="D76" s="226">
        <v>0</v>
      </c>
      <c r="E76" s="226">
        <v>0</v>
      </c>
      <c r="F76" s="166">
        <v>0</v>
      </c>
      <c r="G76" s="241">
        <v>0</v>
      </c>
      <c r="H76" s="242">
        <v>0</v>
      </c>
    </row>
    <row r="77" spans="1:8" ht="15.75" x14ac:dyDescent="0.25">
      <c r="A77" s="164"/>
      <c r="B77" s="165">
        <f>DATE(20,8,1)</f>
        <v>7519</v>
      </c>
      <c r="C77" s="226">
        <v>0</v>
      </c>
      <c r="D77" s="226">
        <v>0</v>
      </c>
      <c r="E77" s="226">
        <v>0</v>
      </c>
      <c r="F77" s="166">
        <v>0</v>
      </c>
      <c r="G77" s="241">
        <v>0</v>
      </c>
      <c r="H77" s="242">
        <v>0</v>
      </c>
    </row>
    <row r="78" spans="1:8" ht="15.75" x14ac:dyDescent="0.25">
      <c r="A78" s="164"/>
      <c r="B78" s="165">
        <f>DATE(20,9,1)</f>
        <v>7550</v>
      </c>
      <c r="C78" s="226"/>
      <c r="D78" s="226"/>
      <c r="E78" s="226"/>
      <c r="F78" s="166"/>
      <c r="G78" s="241"/>
      <c r="H78" s="242"/>
    </row>
    <row r="79" spans="1:8" ht="15.75" thickBot="1" x14ac:dyDescent="0.25">
      <c r="A79" s="167"/>
      <c r="B79" s="168"/>
      <c r="C79" s="226"/>
      <c r="D79" s="226"/>
      <c r="E79" s="226"/>
      <c r="F79" s="166"/>
      <c r="G79" s="241"/>
      <c r="H79" s="242"/>
    </row>
    <row r="80" spans="1:8" ht="17.25" thickTop="1" thickBot="1" x14ac:dyDescent="0.3">
      <c r="A80" s="174" t="s">
        <v>14</v>
      </c>
      <c r="B80" s="175"/>
      <c r="C80" s="228">
        <f>SUM(C76:C79)</f>
        <v>0</v>
      </c>
      <c r="D80" s="228">
        <f>SUM(D76:D79)</f>
        <v>0</v>
      </c>
      <c r="E80" s="228">
        <f>SUM(E76:E79)</f>
        <v>0</v>
      </c>
      <c r="F80" s="176">
        <v>0</v>
      </c>
      <c r="G80" s="245">
        <v>0</v>
      </c>
      <c r="H80" s="246">
        <v>0</v>
      </c>
    </row>
    <row r="81" spans="1:8" ht="15.75" thickTop="1" x14ac:dyDescent="0.2">
      <c r="A81" s="167"/>
      <c r="B81" s="168"/>
      <c r="C81" s="226"/>
      <c r="D81" s="226"/>
      <c r="E81" s="226"/>
      <c r="F81" s="166"/>
      <c r="G81" s="241"/>
      <c r="H81" s="242"/>
    </row>
    <row r="82" spans="1:8" ht="15.75" x14ac:dyDescent="0.25">
      <c r="A82" s="164" t="s">
        <v>58</v>
      </c>
      <c r="B82" s="165">
        <f>DATE(20,7,1)</f>
        <v>7488</v>
      </c>
      <c r="C82" s="226">
        <v>0</v>
      </c>
      <c r="D82" s="226">
        <v>0</v>
      </c>
      <c r="E82" s="226">
        <v>0</v>
      </c>
      <c r="F82" s="166">
        <v>0</v>
      </c>
      <c r="G82" s="241">
        <v>0</v>
      </c>
      <c r="H82" s="242">
        <v>0</v>
      </c>
    </row>
    <row r="83" spans="1:8" ht="15.75" x14ac:dyDescent="0.25">
      <c r="A83" s="164"/>
      <c r="B83" s="165">
        <f>DATE(20,8,1)</f>
        <v>7519</v>
      </c>
      <c r="C83" s="226">
        <v>0</v>
      </c>
      <c r="D83" s="226">
        <v>0</v>
      </c>
      <c r="E83" s="226">
        <v>0</v>
      </c>
      <c r="F83" s="166">
        <v>0</v>
      </c>
      <c r="G83" s="241">
        <v>0</v>
      </c>
      <c r="H83" s="242">
        <v>0</v>
      </c>
    </row>
    <row r="84" spans="1:8" ht="15.75" x14ac:dyDescent="0.25">
      <c r="A84" s="164"/>
      <c r="B84" s="165">
        <f>DATE(20,9,1)</f>
        <v>7550</v>
      </c>
      <c r="C84" s="226"/>
      <c r="D84" s="226"/>
      <c r="E84" s="226"/>
      <c r="F84" s="166"/>
      <c r="G84" s="241"/>
      <c r="H84" s="242"/>
    </row>
    <row r="85" spans="1:8" ht="15.75" thickBot="1" x14ac:dyDescent="0.25">
      <c r="A85" s="167"/>
      <c r="B85" s="168"/>
      <c r="C85" s="226"/>
      <c r="D85" s="226"/>
      <c r="E85" s="226"/>
      <c r="F85" s="166"/>
      <c r="G85" s="241"/>
      <c r="H85" s="242"/>
    </row>
    <row r="86" spans="1:8" ht="17.25" thickTop="1" thickBot="1" x14ac:dyDescent="0.3">
      <c r="A86" s="169" t="s">
        <v>14</v>
      </c>
      <c r="B86" s="155"/>
      <c r="C86" s="223">
        <f>SUM(C82:C85)</f>
        <v>0</v>
      </c>
      <c r="D86" s="223">
        <f>SUM(D82:D85)</f>
        <v>0</v>
      </c>
      <c r="E86" s="223">
        <f>SUM(E82:E85)</f>
        <v>0</v>
      </c>
      <c r="F86" s="176">
        <v>0</v>
      </c>
      <c r="G86" s="245">
        <v>0</v>
      </c>
      <c r="H86" s="246">
        <v>0</v>
      </c>
    </row>
    <row r="87" spans="1:8" ht="16.5" thickTop="1" thickBot="1" x14ac:dyDescent="0.25">
      <c r="A87" s="171"/>
      <c r="B87" s="172"/>
      <c r="C87" s="227"/>
      <c r="D87" s="227"/>
      <c r="E87" s="227"/>
      <c r="F87" s="173"/>
      <c r="G87" s="243"/>
      <c r="H87" s="244"/>
    </row>
    <row r="88" spans="1:8" ht="17.25" thickTop="1" thickBot="1" x14ac:dyDescent="0.3">
      <c r="A88" s="184" t="s">
        <v>38</v>
      </c>
      <c r="B88" s="155"/>
      <c r="C88" s="223">
        <f>C86+C80+C62+C50+C38+C26+C14+C32+C74+C20+C56+C68+C44</f>
        <v>4218231.5</v>
      </c>
      <c r="D88" s="223">
        <f>D86+D80+D62+D50+D38+D26+D14+D32+D74+D20+D56+D68+D44</f>
        <v>224696</v>
      </c>
      <c r="E88" s="223">
        <f>E86+E80+E62+E50+E38+E26+E14+E32+E74+E20+E56+E68+E44</f>
        <v>0</v>
      </c>
      <c r="F88" s="170">
        <v>1</v>
      </c>
      <c r="G88" s="236">
        <f>D88/C88</f>
        <v>5.3267820886549258E-2</v>
      </c>
      <c r="H88" s="237">
        <f>1-G88</f>
        <v>0.94673217911345076</v>
      </c>
    </row>
    <row r="89" spans="1:8" ht="17.25" thickTop="1" thickBot="1" x14ac:dyDescent="0.3">
      <c r="A89" s="184"/>
      <c r="B89" s="155"/>
      <c r="C89" s="223"/>
      <c r="D89" s="223"/>
      <c r="E89" s="223"/>
      <c r="F89" s="170"/>
      <c r="G89" s="236"/>
      <c r="H89" s="237"/>
    </row>
    <row r="90" spans="1:8" ht="17.25" thickTop="1" thickBot="1" x14ac:dyDescent="0.3">
      <c r="A90" s="184" t="s">
        <v>39</v>
      </c>
      <c r="B90" s="155"/>
      <c r="C90" s="223">
        <f>SUM(C12+C18+C24+C30+C36+C42+C48+C54+C60+C66+C72+C78+C84)</f>
        <v>1791988</v>
      </c>
      <c r="D90" s="223">
        <f>SUM(D12+D18+D24+D30+D36+D42+D48+D54+D60+D66+D72+D78+D84)</f>
        <v>106241</v>
      </c>
      <c r="E90" s="223">
        <f>SUM(E11+E17+E23+E29+E35+E41+E47+E53+E59+E65+E71+E77+E83)</f>
        <v>0</v>
      </c>
      <c r="F90" s="170">
        <v>1</v>
      </c>
      <c r="G90" s="236">
        <f>D90/C90</f>
        <v>5.9286669330374978E-2</v>
      </c>
      <c r="H90" s="246">
        <f>1-G90</f>
        <v>0.94071333066962504</v>
      </c>
    </row>
    <row r="91" spans="1:8" ht="16.5" thickTop="1" x14ac:dyDescent="0.25">
      <c r="A91" s="185"/>
      <c r="B91" s="186"/>
      <c r="C91" s="231"/>
      <c r="D91" s="231"/>
      <c r="E91" s="231"/>
      <c r="F91" s="187"/>
      <c r="G91" s="250"/>
      <c r="H91" s="250"/>
    </row>
    <row r="92" spans="1:8" ht="18.75" x14ac:dyDescent="0.3">
      <c r="A92" s="188" t="s">
        <v>49</v>
      </c>
      <c r="B92" s="189"/>
      <c r="C92" s="232"/>
      <c r="D92" s="232"/>
      <c r="E92" s="232"/>
      <c r="F92" s="190"/>
      <c r="G92" s="251"/>
      <c r="H92" s="251"/>
    </row>
    <row r="93" spans="1:8" ht="15.75" x14ac:dyDescent="0.25">
      <c r="A93" s="191"/>
      <c r="B93" s="189"/>
      <c r="C93" s="232"/>
      <c r="D93" s="232"/>
      <c r="E93" s="232"/>
      <c r="F93" s="190"/>
      <c r="G93" s="257"/>
      <c r="H93" s="257"/>
    </row>
  </sheetData>
  <printOptions horizontalCentered="1"/>
  <pageMargins left="0.7" right="0.45" top="0.25" bottom="0.25" header="0.3" footer="0.3"/>
  <pageSetup scale="65" orientation="landscape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94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76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72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DATE(20,7,1)</f>
        <v>7488</v>
      </c>
      <c r="C10" s="226">
        <v>117848324.83</v>
      </c>
      <c r="D10" s="226">
        <v>11655862.98</v>
      </c>
      <c r="E10" s="226">
        <v>12400602.17</v>
      </c>
      <c r="F10" s="166">
        <f>(+D10-E10)/E10</f>
        <v>-6.0056695617709627E-2</v>
      </c>
      <c r="G10" s="241">
        <f>D10/C10</f>
        <v>9.8905631427633423E-2</v>
      </c>
      <c r="H10" s="242">
        <f>1-G10</f>
        <v>0.90109436857236658</v>
      </c>
      <c r="I10" s="157"/>
    </row>
    <row r="11" spans="1:9" ht="15.75" x14ac:dyDescent="0.25">
      <c r="A11" s="164"/>
      <c r="B11" s="165">
        <f>DATE(20,8,1)</f>
        <v>7519</v>
      </c>
      <c r="C11" s="226">
        <v>114424791.59</v>
      </c>
      <c r="D11" s="226">
        <v>11056944.539999999</v>
      </c>
      <c r="E11" s="226">
        <v>12656746.98</v>
      </c>
      <c r="F11" s="166">
        <f>(+D11-E11)/E11</f>
        <v>-0.12639918002058387</v>
      </c>
      <c r="G11" s="241">
        <f>D11/C11</f>
        <v>9.6630672307611229E-2</v>
      </c>
      <c r="H11" s="242">
        <f>1-G11</f>
        <v>0.90336932769238876</v>
      </c>
      <c r="I11" s="157"/>
    </row>
    <row r="12" spans="1:9" ht="15.75" x14ac:dyDescent="0.25">
      <c r="A12" s="164"/>
      <c r="B12" s="165">
        <f>DATE(20,9,1)</f>
        <v>7550</v>
      </c>
      <c r="C12" s="226">
        <v>114212855.16</v>
      </c>
      <c r="D12" s="226">
        <v>11050997.59</v>
      </c>
      <c r="E12" s="226">
        <v>11070519.380000001</v>
      </c>
      <c r="F12" s="166">
        <f>(+D12-E12)/E12</f>
        <v>-1.7634032631991081E-3</v>
      </c>
      <c r="G12" s="241">
        <f>D12/C12</f>
        <v>9.6757913761272615E-2</v>
      </c>
      <c r="H12" s="242">
        <f>1-G12</f>
        <v>0.90324208623872737</v>
      </c>
      <c r="I12" s="157"/>
    </row>
    <row r="13" spans="1:9" ht="15.75" thickBot="1" x14ac:dyDescent="0.25">
      <c r="A13" s="167"/>
      <c r="B13" s="168"/>
      <c r="C13" s="226"/>
      <c r="D13" s="226"/>
      <c r="E13" s="226"/>
      <c r="F13" s="166"/>
      <c r="G13" s="241"/>
      <c r="H13" s="242"/>
      <c r="I13" s="157"/>
    </row>
    <row r="14" spans="1:9" ht="17.25" thickTop="1" thickBot="1" x14ac:dyDescent="0.3">
      <c r="A14" s="169" t="s">
        <v>14</v>
      </c>
      <c r="B14" s="155"/>
      <c r="C14" s="223">
        <f>SUM(C10:C13)</f>
        <v>346485971.58000004</v>
      </c>
      <c r="D14" s="223">
        <f>SUM(D10:D13)</f>
        <v>33763805.109999999</v>
      </c>
      <c r="E14" s="223">
        <f>SUM(E10:E13)</f>
        <v>36127868.530000001</v>
      </c>
      <c r="F14" s="170">
        <f>(+D14-E14)/E14</f>
        <v>-6.5436005947511727E-2</v>
      </c>
      <c r="G14" s="236">
        <f>D14/C14</f>
        <v>9.7446384210115949E-2</v>
      </c>
      <c r="H14" s="237">
        <f>1-G14</f>
        <v>0.90255361578988402</v>
      </c>
      <c r="I14" s="157"/>
    </row>
    <row r="15" spans="1:9" ht="15.75" thickTop="1" x14ac:dyDescent="0.2">
      <c r="A15" s="171"/>
      <c r="B15" s="172"/>
      <c r="C15" s="227"/>
      <c r="D15" s="227"/>
      <c r="E15" s="227"/>
      <c r="F15" s="173"/>
      <c r="G15" s="243"/>
      <c r="H15" s="244"/>
      <c r="I15" s="157"/>
    </row>
    <row r="16" spans="1:9" ht="15.75" x14ac:dyDescent="0.25">
      <c r="A16" s="19" t="s">
        <v>48</v>
      </c>
      <c r="B16" s="165">
        <f>DATE(20,7,1)</f>
        <v>7488</v>
      </c>
      <c r="C16" s="226">
        <v>50404182.520000003</v>
      </c>
      <c r="D16" s="226">
        <v>5066109.03</v>
      </c>
      <c r="E16" s="226">
        <v>6237251.8300000001</v>
      </c>
      <c r="F16" s="166">
        <f>(+D16-E16)/E16</f>
        <v>-0.1877658353262289</v>
      </c>
      <c r="G16" s="241">
        <f>D16/C16</f>
        <v>0.10050969536089205</v>
      </c>
      <c r="H16" s="242">
        <f>1-G16</f>
        <v>0.89949030463910795</v>
      </c>
      <c r="I16" s="157"/>
    </row>
    <row r="17" spans="1:9" ht="15.75" x14ac:dyDescent="0.25">
      <c r="A17" s="19"/>
      <c r="B17" s="165">
        <f>DATE(20,8,1)</f>
        <v>7519</v>
      </c>
      <c r="C17" s="226">
        <v>55094697.780000001</v>
      </c>
      <c r="D17" s="226">
        <v>5468550.7300000004</v>
      </c>
      <c r="E17" s="226">
        <v>6248302.3499999996</v>
      </c>
      <c r="F17" s="166">
        <f>(+D17-E17)/E17</f>
        <v>-0.12479415628790742</v>
      </c>
      <c r="G17" s="241">
        <f>D17/C17</f>
        <v>9.925729608022546E-2</v>
      </c>
      <c r="H17" s="242">
        <f>1-G17</f>
        <v>0.90074270391977451</v>
      </c>
      <c r="I17" s="157"/>
    </row>
    <row r="18" spans="1:9" ht="15.75" x14ac:dyDescent="0.25">
      <c r="A18" s="19"/>
      <c r="B18" s="165">
        <f>DATE(20,9,1)</f>
        <v>7550</v>
      </c>
      <c r="C18" s="226">
        <v>55214801.950000003</v>
      </c>
      <c r="D18" s="226">
        <v>5506925.1600000001</v>
      </c>
      <c r="E18" s="226">
        <v>5841517.5999999996</v>
      </c>
      <c r="F18" s="166">
        <f>(+D18-E18)/E18</f>
        <v>-5.727834150495404E-2</v>
      </c>
      <c r="G18" s="241">
        <f>D18/C18</f>
        <v>9.9736392516391159E-2</v>
      </c>
      <c r="H18" s="242">
        <f>1-G18</f>
        <v>0.90026360748360879</v>
      </c>
      <c r="I18" s="157"/>
    </row>
    <row r="19" spans="1:9" ht="15.75" thickBot="1" x14ac:dyDescent="0.25">
      <c r="A19" s="167"/>
      <c r="B19" s="165"/>
      <c r="C19" s="226"/>
      <c r="D19" s="226"/>
      <c r="E19" s="226"/>
      <c r="F19" s="166"/>
      <c r="G19" s="241"/>
      <c r="H19" s="242"/>
      <c r="I19" s="157"/>
    </row>
    <row r="20" spans="1:9" ht="17.25" thickTop="1" thickBot="1" x14ac:dyDescent="0.3">
      <c r="A20" s="169" t="s">
        <v>14</v>
      </c>
      <c r="B20" s="155"/>
      <c r="C20" s="223">
        <f>SUM(C16:C19)</f>
        <v>160713682.25</v>
      </c>
      <c r="D20" s="223">
        <f>SUM(D16:D19)</f>
        <v>16041584.920000002</v>
      </c>
      <c r="E20" s="223">
        <f>SUM(E16:E19)</f>
        <v>18327071.780000001</v>
      </c>
      <c r="F20" s="170">
        <f>(+D20-E20)/E20</f>
        <v>-0.1247055114660548</v>
      </c>
      <c r="G20" s="236">
        <f>D20/C20</f>
        <v>9.9814680961925389E-2</v>
      </c>
      <c r="H20" s="237">
        <f>1-G20</f>
        <v>0.90018531903807464</v>
      </c>
      <c r="I20" s="157"/>
    </row>
    <row r="21" spans="1:9" ht="15.75" thickTop="1" x14ac:dyDescent="0.2">
      <c r="A21" s="171"/>
      <c r="B21" s="172"/>
      <c r="C21" s="227"/>
      <c r="D21" s="227"/>
      <c r="E21" s="227"/>
      <c r="F21" s="173"/>
      <c r="G21" s="243"/>
      <c r="H21" s="244"/>
      <c r="I21" s="157"/>
    </row>
    <row r="22" spans="1:9" ht="15.75" x14ac:dyDescent="0.25">
      <c r="A22" s="19" t="s">
        <v>65</v>
      </c>
      <c r="B22" s="165">
        <f>DATE(20,7,1)</f>
        <v>7488</v>
      </c>
      <c r="C22" s="226">
        <v>28855708.969999999</v>
      </c>
      <c r="D22" s="226">
        <v>3105687.6</v>
      </c>
      <c r="E22" s="226">
        <v>2967073.27</v>
      </c>
      <c r="F22" s="166">
        <f>(+D22-E22)/E22</f>
        <v>4.6717528482200267E-2</v>
      </c>
      <c r="G22" s="241">
        <f>D22/C22</f>
        <v>0.10762818557772556</v>
      </c>
      <c r="H22" s="242">
        <f>1-G22</f>
        <v>0.89237181442227442</v>
      </c>
      <c r="I22" s="157"/>
    </row>
    <row r="23" spans="1:9" ht="15.75" x14ac:dyDescent="0.25">
      <c r="A23" s="19"/>
      <c r="B23" s="165">
        <f>DATE(20,8,1)</f>
        <v>7519</v>
      </c>
      <c r="C23" s="226">
        <v>29064729.829999998</v>
      </c>
      <c r="D23" s="226">
        <v>3031801</v>
      </c>
      <c r="E23" s="226">
        <v>2916117.84</v>
      </c>
      <c r="F23" s="166">
        <f>(+D23-E23)/E23</f>
        <v>3.9670262433564807E-2</v>
      </c>
      <c r="G23" s="241">
        <f>D23/C23</f>
        <v>0.10431203103325046</v>
      </c>
      <c r="H23" s="242">
        <f>1-G23</f>
        <v>0.89568796896674951</v>
      </c>
      <c r="I23" s="157"/>
    </row>
    <row r="24" spans="1:9" ht="15.75" x14ac:dyDescent="0.25">
      <c r="A24" s="19"/>
      <c r="B24" s="165">
        <f>DATE(20,9,1)</f>
        <v>7550</v>
      </c>
      <c r="C24" s="226">
        <v>27838192.809999999</v>
      </c>
      <c r="D24" s="226">
        <v>2818231.18</v>
      </c>
      <c r="E24" s="226">
        <v>2810959.49</v>
      </c>
      <c r="F24" s="166">
        <f>(+D24-E24)/E24</f>
        <v>2.5869067220175212E-3</v>
      </c>
      <c r="G24" s="241">
        <f>D24/C24</f>
        <v>0.10123613983259858</v>
      </c>
      <c r="H24" s="242">
        <f>1-G24</f>
        <v>0.8987638601674014</v>
      </c>
      <c r="I24" s="157"/>
    </row>
    <row r="25" spans="1:9" ht="15.75" thickBot="1" x14ac:dyDescent="0.25">
      <c r="A25" s="167"/>
      <c r="B25" s="165"/>
      <c r="C25" s="226"/>
      <c r="D25" s="226"/>
      <c r="E25" s="226"/>
      <c r="F25" s="166"/>
      <c r="G25" s="241"/>
      <c r="H25" s="242"/>
      <c r="I25" s="157"/>
    </row>
    <row r="26" spans="1:9" ht="17.25" thickTop="1" thickBot="1" x14ac:dyDescent="0.3">
      <c r="A26" s="174" t="s">
        <v>14</v>
      </c>
      <c r="B26" s="175"/>
      <c r="C26" s="228">
        <f>SUM(C22:C25)</f>
        <v>85758631.609999999</v>
      </c>
      <c r="D26" s="228">
        <f>SUM(D22:D25)</f>
        <v>8955719.7799999993</v>
      </c>
      <c r="E26" s="228">
        <f>SUM(E22:E25)</f>
        <v>8694150.5999999996</v>
      </c>
      <c r="F26" s="176">
        <f>(+D26-E26)/E26</f>
        <v>3.0085650920286533E-2</v>
      </c>
      <c r="G26" s="245">
        <f>D26/C26</f>
        <v>0.10442936893778172</v>
      </c>
      <c r="H26" s="246">
        <f>1-G26</f>
        <v>0.89557063106221824</v>
      </c>
      <c r="I26" s="157"/>
    </row>
    <row r="27" spans="1:9" ht="15.75" thickTop="1" x14ac:dyDescent="0.2">
      <c r="A27" s="167"/>
      <c r="B27" s="168"/>
      <c r="C27" s="226"/>
      <c r="D27" s="226"/>
      <c r="E27" s="226"/>
      <c r="F27" s="166"/>
      <c r="G27" s="241"/>
      <c r="H27" s="242"/>
      <c r="I27" s="157"/>
    </row>
    <row r="28" spans="1:9" ht="15.75" x14ac:dyDescent="0.25">
      <c r="A28" s="177" t="s">
        <v>59</v>
      </c>
      <c r="B28" s="165">
        <f>DATE(20,7,1)</f>
        <v>7488</v>
      </c>
      <c r="C28" s="226">
        <v>143439230.22</v>
      </c>
      <c r="D28" s="226">
        <v>12870761.890000001</v>
      </c>
      <c r="E28" s="226">
        <v>17279710.350000001</v>
      </c>
      <c r="F28" s="166">
        <f>(+D28-E28)/E28</f>
        <v>-0.2551517572168101</v>
      </c>
      <c r="G28" s="241">
        <f>D28/C28</f>
        <v>8.9729719479527764E-2</v>
      </c>
      <c r="H28" s="242">
        <f>1-G28</f>
        <v>0.91027028052047221</v>
      </c>
      <c r="I28" s="157"/>
    </row>
    <row r="29" spans="1:9" ht="15.75" x14ac:dyDescent="0.25">
      <c r="A29" s="177"/>
      <c r="B29" s="165">
        <f>DATE(20,8,1)</f>
        <v>7519</v>
      </c>
      <c r="C29" s="226">
        <v>144700809.44999999</v>
      </c>
      <c r="D29" s="226">
        <v>13070251.67</v>
      </c>
      <c r="E29" s="226">
        <v>17467037.460000001</v>
      </c>
      <c r="F29" s="166">
        <f>(+D29-E29)/E29</f>
        <v>-0.25171903364086567</v>
      </c>
      <c r="G29" s="241">
        <f>D29/C29</f>
        <v>9.0326043922486166E-2</v>
      </c>
      <c r="H29" s="242">
        <f>1-G29</f>
        <v>0.90967395607751378</v>
      </c>
      <c r="I29" s="157"/>
    </row>
    <row r="30" spans="1:9" ht="15.75" x14ac:dyDescent="0.25">
      <c r="A30" s="177"/>
      <c r="B30" s="165">
        <f>DATE(20,9,1)</f>
        <v>7550</v>
      </c>
      <c r="C30" s="226">
        <v>139818303.37</v>
      </c>
      <c r="D30" s="226">
        <v>12783360.18</v>
      </c>
      <c r="E30" s="226">
        <v>16156127.949999999</v>
      </c>
      <c r="F30" s="166">
        <f>(+D30-E30)/E30</f>
        <v>-0.20876089744015675</v>
      </c>
      <c r="G30" s="241">
        <f>D30/C30</f>
        <v>9.1428374339313084E-2</v>
      </c>
      <c r="H30" s="242">
        <f>1-G30</f>
        <v>0.90857162566068694</v>
      </c>
      <c r="I30" s="157"/>
    </row>
    <row r="31" spans="1:9" ht="15.75" thickBot="1" x14ac:dyDescent="0.25">
      <c r="A31" s="167"/>
      <c r="B31" s="168"/>
      <c r="C31" s="226"/>
      <c r="D31" s="226"/>
      <c r="E31" s="226"/>
      <c r="F31" s="166"/>
      <c r="G31" s="241"/>
      <c r="H31" s="242"/>
      <c r="I31" s="157"/>
    </row>
    <row r="32" spans="1:9" ht="17.25" thickTop="1" thickBot="1" x14ac:dyDescent="0.3">
      <c r="A32" s="174" t="s">
        <v>14</v>
      </c>
      <c r="B32" s="178"/>
      <c r="C32" s="228">
        <f>SUM(C28:C31)</f>
        <v>427958343.03999996</v>
      </c>
      <c r="D32" s="228">
        <f>SUM(D28:D31)</f>
        <v>38724373.740000002</v>
      </c>
      <c r="E32" s="228">
        <f>SUM(E28:E31)</f>
        <v>50902875.760000005</v>
      </c>
      <c r="F32" s="176">
        <f>(+D32-E32)/E32</f>
        <v>-0.239249783792569</v>
      </c>
      <c r="G32" s="245">
        <f>D32/C32</f>
        <v>9.0486315712229384E-2</v>
      </c>
      <c r="H32" s="246">
        <f>1-G32</f>
        <v>0.90951368428777057</v>
      </c>
      <c r="I32" s="157"/>
    </row>
    <row r="33" spans="1:9" ht="15.75" thickTop="1" x14ac:dyDescent="0.2">
      <c r="A33" s="167"/>
      <c r="B33" s="168"/>
      <c r="C33" s="226"/>
      <c r="D33" s="226"/>
      <c r="E33" s="226"/>
      <c r="F33" s="166"/>
      <c r="G33" s="241"/>
      <c r="H33" s="242"/>
      <c r="I33" s="157"/>
    </row>
    <row r="34" spans="1:9" ht="15.75" x14ac:dyDescent="0.25">
      <c r="A34" s="164" t="s">
        <v>63</v>
      </c>
      <c r="B34" s="165">
        <f>DATE(20,7,1)</f>
        <v>7488</v>
      </c>
      <c r="C34" s="226">
        <v>129097611.84999999</v>
      </c>
      <c r="D34" s="226">
        <v>13388447.99</v>
      </c>
      <c r="E34" s="226">
        <v>11411946.24</v>
      </c>
      <c r="F34" s="166">
        <f>(+D34-E34)/E34</f>
        <v>0.17319585182343095</v>
      </c>
      <c r="G34" s="241">
        <f>D34/C34</f>
        <v>0.10370794469502807</v>
      </c>
      <c r="H34" s="242">
        <f>1-G34</f>
        <v>0.89629205530497191</v>
      </c>
      <c r="I34" s="157"/>
    </row>
    <row r="35" spans="1:9" ht="15.75" x14ac:dyDescent="0.25">
      <c r="A35" s="164"/>
      <c r="B35" s="165">
        <f>DATE(20,8,1)</f>
        <v>7519</v>
      </c>
      <c r="C35" s="226">
        <v>126740821.34999999</v>
      </c>
      <c r="D35" s="226">
        <v>12503132.880000001</v>
      </c>
      <c r="E35" s="226">
        <v>12220877.76</v>
      </c>
      <c r="F35" s="166">
        <f>(+D35-E35)/E35</f>
        <v>2.3096141336414206E-2</v>
      </c>
      <c r="G35" s="241">
        <f>D35/C35</f>
        <v>9.8651190254417598E-2</v>
      </c>
      <c r="H35" s="242">
        <f>1-G35</f>
        <v>0.9013488097455824</v>
      </c>
      <c r="I35" s="157"/>
    </row>
    <row r="36" spans="1:9" ht="15.75" x14ac:dyDescent="0.25">
      <c r="A36" s="164"/>
      <c r="B36" s="165">
        <f>DATE(20,9,1)</f>
        <v>7550</v>
      </c>
      <c r="C36" s="226">
        <v>113747305.23</v>
      </c>
      <c r="D36" s="226">
        <v>11218535.91</v>
      </c>
      <c r="E36" s="226">
        <v>11441576.98</v>
      </c>
      <c r="F36" s="166">
        <f>(+D36-E36)/E36</f>
        <v>-1.9493909833397834E-2</v>
      </c>
      <c r="G36" s="241">
        <f>D36/C36</f>
        <v>9.8626828014218265E-2</v>
      </c>
      <c r="H36" s="242">
        <f>1-G36</f>
        <v>0.90137317198578171</v>
      </c>
      <c r="I36" s="157"/>
    </row>
    <row r="37" spans="1:9" ht="15.75" thickBot="1" x14ac:dyDescent="0.25">
      <c r="A37" s="167"/>
      <c r="B37" s="165"/>
      <c r="C37" s="226"/>
      <c r="D37" s="226"/>
      <c r="E37" s="226"/>
      <c r="F37" s="166"/>
      <c r="G37" s="241"/>
      <c r="H37" s="242"/>
      <c r="I37" s="157"/>
    </row>
    <row r="38" spans="1:9" ht="17.25" thickTop="1" thickBot="1" x14ac:dyDescent="0.3">
      <c r="A38" s="174" t="s">
        <v>14</v>
      </c>
      <c r="B38" s="175"/>
      <c r="C38" s="228">
        <f>SUM(C34:C37)</f>
        <v>369585738.43000001</v>
      </c>
      <c r="D38" s="230">
        <f>SUM(D34:D37)</f>
        <v>37110116.780000001</v>
      </c>
      <c r="E38" s="271">
        <f>SUM(E34:E37)</f>
        <v>35074400.980000004</v>
      </c>
      <c r="F38" s="272">
        <f>(+D38-E38)/E38</f>
        <v>5.8039930636614306E-2</v>
      </c>
      <c r="G38" s="249">
        <f>D38/C38</f>
        <v>0.10041003459073869</v>
      </c>
      <c r="H38" s="270">
        <f>1-G38</f>
        <v>0.89958996540926128</v>
      </c>
      <c r="I38" s="157"/>
    </row>
    <row r="39" spans="1:9" ht="15.75" thickTop="1" x14ac:dyDescent="0.2">
      <c r="A39" s="167"/>
      <c r="B39" s="168"/>
      <c r="C39" s="226"/>
      <c r="D39" s="226"/>
      <c r="E39" s="226"/>
      <c r="F39" s="166"/>
      <c r="G39" s="241"/>
      <c r="H39" s="242"/>
      <c r="I39" s="157"/>
    </row>
    <row r="40" spans="1:9" ht="15.75" x14ac:dyDescent="0.25">
      <c r="A40" s="164" t="s">
        <v>68</v>
      </c>
      <c r="B40" s="165">
        <f>DATE(20,7,1)</f>
        <v>7488</v>
      </c>
      <c r="C40" s="226">
        <v>42751040.829999998</v>
      </c>
      <c r="D40" s="226">
        <v>4434379.57</v>
      </c>
      <c r="E40" s="226">
        <v>3906046.69</v>
      </c>
      <c r="F40" s="166">
        <f>(+D40-E40)/E40</f>
        <v>0.13526025721930127</v>
      </c>
      <c r="G40" s="241">
        <f>D40/C40</f>
        <v>0.10372565167789391</v>
      </c>
      <c r="H40" s="242">
        <f>1-G40</f>
        <v>0.89627434832210606</v>
      </c>
      <c r="I40" s="157"/>
    </row>
    <row r="41" spans="1:9" ht="15.75" x14ac:dyDescent="0.25">
      <c r="A41" s="164"/>
      <c r="B41" s="165">
        <f>DATE(20,8,1)</f>
        <v>7519</v>
      </c>
      <c r="C41" s="226">
        <v>42673866.380000003</v>
      </c>
      <c r="D41" s="226">
        <v>4333573.3</v>
      </c>
      <c r="E41" s="226">
        <v>4670857.45</v>
      </c>
      <c r="F41" s="166">
        <f>(+D41-E41)/E41</f>
        <v>-7.2210328319910588E-2</v>
      </c>
      <c r="G41" s="241">
        <f>D41/C41</f>
        <v>0.1015509881717917</v>
      </c>
      <c r="H41" s="242">
        <f>1-G41</f>
        <v>0.89844901182820824</v>
      </c>
      <c r="I41" s="157"/>
    </row>
    <row r="42" spans="1:9" ht="15.75" x14ac:dyDescent="0.25">
      <c r="A42" s="164"/>
      <c r="B42" s="165">
        <f>DATE(20,9,1)</f>
        <v>7550</v>
      </c>
      <c r="C42" s="226">
        <v>41605422.850000001</v>
      </c>
      <c r="D42" s="226">
        <v>4417017.5599999996</v>
      </c>
      <c r="E42" s="226">
        <v>4421418.32</v>
      </c>
      <c r="F42" s="166">
        <f>(+D42-E42)/E42</f>
        <v>-9.9532767123485097E-4</v>
      </c>
      <c r="G42" s="241">
        <f>D42/C42</f>
        <v>0.10616446745234796</v>
      </c>
      <c r="H42" s="242">
        <f>1-G42</f>
        <v>0.89383553254765202</v>
      </c>
      <c r="I42" s="157"/>
    </row>
    <row r="43" spans="1:9" ht="15.75" thickBot="1" x14ac:dyDescent="0.25">
      <c r="A43" s="167"/>
      <c r="B43" s="165"/>
      <c r="C43" s="226"/>
      <c r="D43" s="226"/>
      <c r="E43" s="226"/>
      <c r="F43" s="166"/>
      <c r="G43" s="241"/>
      <c r="H43" s="242"/>
      <c r="I43" s="157"/>
    </row>
    <row r="44" spans="1:9" ht="17.25" thickTop="1" thickBot="1" x14ac:dyDescent="0.3">
      <c r="A44" s="174" t="s">
        <v>14</v>
      </c>
      <c r="B44" s="175"/>
      <c r="C44" s="228">
        <f>SUM(C40:C43)</f>
        <v>127030330.06</v>
      </c>
      <c r="D44" s="230">
        <f>SUM(D40:D43)</f>
        <v>13184970.43</v>
      </c>
      <c r="E44" s="271">
        <f>SUM(E40:E43)</f>
        <v>12998322.460000001</v>
      </c>
      <c r="F44" s="272">
        <f>(+D44-E44)/E44</f>
        <v>1.4359389111508377E-2</v>
      </c>
      <c r="G44" s="249">
        <f>D44/C44</f>
        <v>0.10379387681487065</v>
      </c>
      <c r="H44" s="270">
        <f>1-G44</f>
        <v>0.89620612318512938</v>
      </c>
      <c r="I44" s="157"/>
    </row>
    <row r="45" spans="1:9" ht="15.75" thickTop="1" x14ac:dyDescent="0.2">
      <c r="A45" s="167"/>
      <c r="B45" s="168"/>
      <c r="C45" s="226"/>
      <c r="D45" s="226"/>
      <c r="E45" s="226"/>
      <c r="F45" s="166"/>
      <c r="G45" s="241"/>
      <c r="H45" s="242"/>
      <c r="I45" s="157"/>
    </row>
    <row r="46" spans="1:9" ht="15.75" x14ac:dyDescent="0.25">
      <c r="A46" s="164" t="s">
        <v>66</v>
      </c>
      <c r="B46" s="165">
        <f>DATE(20,7,1)</f>
        <v>7488</v>
      </c>
      <c r="C46" s="226">
        <v>39014288.030000001</v>
      </c>
      <c r="D46" s="226">
        <v>4303428.05</v>
      </c>
      <c r="E46" s="226">
        <v>4987956.2</v>
      </c>
      <c r="F46" s="166">
        <f>(+D46-E46)/E46</f>
        <v>-0.13723619906686438</v>
      </c>
      <c r="G46" s="241">
        <f>D46/C46</f>
        <v>0.11030389806654636</v>
      </c>
      <c r="H46" s="242">
        <f>1-G46</f>
        <v>0.88969610193345361</v>
      </c>
      <c r="I46" s="157"/>
    </row>
    <row r="47" spans="1:9" ht="15.75" x14ac:dyDescent="0.25">
      <c r="A47" s="164"/>
      <c r="B47" s="165">
        <f>DATE(20,8,1)</f>
        <v>7519</v>
      </c>
      <c r="C47" s="226">
        <v>37294361.380000003</v>
      </c>
      <c r="D47" s="226">
        <v>4134795.6</v>
      </c>
      <c r="E47" s="226">
        <v>5297182</v>
      </c>
      <c r="F47" s="166">
        <f>(+D47-E47)/E47</f>
        <v>-0.21943486178122631</v>
      </c>
      <c r="G47" s="241">
        <f>D47/C47</f>
        <v>0.11086918898730315</v>
      </c>
      <c r="H47" s="242">
        <f>1-G47</f>
        <v>0.88913081101269686</v>
      </c>
      <c r="I47" s="157"/>
    </row>
    <row r="48" spans="1:9" ht="15.75" x14ac:dyDescent="0.25">
      <c r="A48" s="164"/>
      <c r="B48" s="165">
        <f>DATE(20,9,1)</f>
        <v>7550</v>
      </c>
      <c r="C48" s="226">
        <v>46478172.090000004</v>
      </c>
      <c r="D48" s="226">
        <v>5078159.95</v>
      </c>
      <c r="E48" s="226">
        <v>4757922.75</v>
      </c>
      <c r="F48" s="166">
        <f>(+D48-E48)/E48</f>
        <v>6.7306094870918237E-2</v>
      </c>
      <c r="G48" s="241">
        <f>D48/C48</f>
        <v>0.10925902895162674</v>
      </c>
      <c r="H48" s="242">
        <f>1-G48</f>
        <v>0.89074097104837324</v>
      </c>
      <c r="I48" s="157"/>
    </row>
    <row r="49" spans="1:9" ht="15.75" thickBot="1" x14ac:dyDescent="0.25">
      <c r="A49" s="167"/>
      <c r="B49" s="165"/>
      <c r="C49" s="226"/>
      <c r="D49" s="226"/>
      <c r="E49" s="226"/>
      <c r="F49" s="166"/>
      <c r="G49" s="241"/>
      <c r="H49" s="242"/>
      <c r="I49" s="157"/>
    </row>
    <row r="50" spans="1:9" ht="17.25" thickTop="1" thickBot="1" x14ac:dyDescent="0.3">
      <c r="A50" s="174" t="s">
        <v>14</v>
      </c>
      <c r="B50" s="175"/>
      <c r="C50" s="228">
        <f>SUM(C46:C49)</f>
        <v>122786821.5</v>
      </c>
      <c r="D50" s="230">
        <f>SUM(D46:D49)</f>
        <v>13516383.600000001</v>
      </c>
      <c r="E50" s="271">
        <f>SUM(E46:E49)</f>
        <v>15043060.949999999</v>
      </c>
      <c r="F50" s="272">
        <f>(+D50-E50)/E50</f>
        <v>-0.1014871478001954</v>
      </c>
      <c r="G50" s="249">
        <f>D50/C50</f>
        <v>0.11008008379791802</v>
      </c>
      <c r="H50" s="270">
        <f>1-G50</f>
        <v>0.889919916202082</v>
      </c>
      <c r="I50" s="157"/>
    </row>
    <row r="51" spans="1:9" ht="15.75" thickTop="1" x14ac:dyDescent="0.2">
      <c r="A51" s="167"/>
      <c r="B51" s="168"/>
      <c r="C51" s="226"/>
      <c r="D51" s="226"/>
      <c r="E51" s="226"/>
      <c r="F51" s="166"/>
      <c r="G51" s="241"/>
      <c r="H51" s="242"/>
      <c r="I51" s="157"/>
    </row>
    <row r="52" spans="1:9" ht="15.75" x14ac:dyDescent="0.25">
      <c r="A52" s="164" t="s">
        <v>60</v>
      </c>
      <c r="B52" s="165">
        <f>DATE(20,7,1)</f>
        <v>7488</v>
      </c>
      <c r="C52" s="226">
        <v>111521100.17</v>
      </c>
      <c r="D52" s="226">
        <v>10751795.77</v>
      </c>
      <c r="E52" s="226">
        <v>10859844.9</v>
      </c>
      <c r="F52" s="166">
        <f>(+D52-E52)/E52</f>
        <v>-9.9494174175545382E-3</v>
      </c>
      <c r="G52" s="241">
        <f>D52/C52</f>
        <v>9.6410416984859623E-2</v>
      </c>
      <c r="H52" s="242">
        <f>1-G52</f>
        <v>0.90358958301514036</v>
      </c>
      <c r="I52" s="157"/>
    </row>
    <row r="53" spans="1:9" ht="15.75" x14ac:dyDescent="0.25">
      <c r="A53" s="164"/>
      <c r="B53" s="165">
        <f>DATE(20,8,1)</f>
        <v>7519</v>
      </c>
      <c r="C53" s="226">
        <v>112369794.01000001</v>
      </c>
      <c r="D53" s="226">
        <v>11312353.68</v>
      </c>
      <c r="E53" s="226">
        <v>10606265.73</v>
      </c>
      <c r="F53" s="166">
        <f>(+D53-E53)/E53</f>
        <v>6.6572719180777992E-2</v>
      </c>
      <c r="G53" s="241">
        <f>D53/C53</f>
        <v>0.10067076993122628</v>
      </c>
      <c r="H53" s="242">
        <f>1-G53</f>
        <v>0.89932923006877374</v>
      </c>
      <c r="I53" s="157"/>
    </row>
    <row r="54" spans="1:9" ht="15.75" x14ac:dyDescent="0.25">
      <c r="A54" s="164"/>
      <c r="B54" s="165">
        <f>DATE(20,9,1)</f>
        <v>7550</v>
      </c>
      <c r="C54" s="226">
        <v>112239380.63</v>
      </c>
      <c r="D54" s="226">
        <v>10957002.039999999</v>
      </c>
      <c r="E54" s="226">
        <v>10294221.539999999</v>
      </c>
      <c r="F54" s="166">
        <f>(+D54-E54)/E54</f>
        <v>6.4383741638418257E-2</v>
      </c>
      <c r="G54" s="241">
        <f>D54/C54</f>
        <v>9.762172580157083E-2</v>
      </c>
      <c r="H54" s="242">
        <f>1-G54</f>
        <v>0.9023782741984292</v>
      </c>
      <c r="I54" s="157"/>
    </row>
    <row r="55" spans="1:9" ht="15.75" thickBot="1" x14ac:dyDescent="0.25">
      <c r="A55" s="167"/>
      <c r="B55" s="165"/>
      <c r="C55" s="226"/>
      <c r="D55" s="226"/>
      <c r="E55" s="226"/>
      <c r="F55" s="166"/>
      <c r="G55" s="241"/>
      <c r="H55" s="242"/>
      <c r="I55" s="157"/>
    </row>
    <row r="56" spans="1:9" ht="17.25" thickTop="1" thickBot="1" x14ac:dyDescent="0.3">
      <c r="A56" s="174" t="s">
        <v>14</v>
      </c>
      <c r="B56" s="175"/>
      <c r="C56" s="228">
        <f>SUM(C52:C55)</f>
        <v>336130274.81</v>
      </c>
      <c r="D56" s="230">
        <f>SUM(D52:D55)</f>
        <v>33021151.489999998</v>
      </c>
      <c r="E56" s="271">
        <f>SUM(E52:E55)</f>
        <v>31760332.170000002</v>
      </c>
      <c r="F56" s="176">
        <f>(+D56-E56)/E56</f>
        <v>3.9697926119013779E-2</v>
      </c>
      <c r="G56" s="249">
        <f>D56/C56</f>
        <v>9.8239147035075719E-2</v>
      </c>
      <c r="H56" s="270">
        <f>1-G56</f>
        <v>0.90176085296492425</v>
      </c>
      <c r="I56" s="157"/>
    </row>
    <row r="57" spans="1:9" ht="15.75" thickTop="1" x14ac:dyDescent="0.2">
      <c r="A57" s="167"/>
      <c r="B57" s="179"/>
      <c r="C57" s="229"/>
      <c r="D57" s="229"/>
      <c r="E57" s="229"/>
      <c r="F57" s="180"/>
      <c r="G57" s="247"/>
      <c r="H57" s="248"/>
      <c r="I57" s="157"/>
    </row>
    <row r="58" spans="1:9" ht="15.75" x14ac:dyDescent="0.25">
      <c r="A58" s="164" t="s">
        <v>16</v>
      </c>
      <c r="B58" s="165">
        <f>DATE(20,7,1)</f>
        <v>7488</v>
      </c>
      <c r="C58" s="226">
        <v>122917916.14</v>
      </c>
      <c r="D58" s="226">
        <v>12124639.109999999</v>
      </c>
      <c r="E58" s="226">
        <v>13562944.539999999</v>
      </c>
      <c r="F58" s="166">
        <f>(+D58-E58)/E58</f>
        <v>-0.10604669404627676</v>
      </c>
      <c r="G58" s="241">
        <f>D58/C58</f>
        <v>9.8640129045064362E-2</v>
      </c>
      <c r="H58" s="242">
        <f>1-G58</f>
        <v>0.90135987095493564</v>
      </c>
      <c r="I58" s="157"/>
    </row>
    <row r="59" spans="1:9" ht="15.75" x14ac:dyDescent="0.25">
      <c r="A59" s="164"/>
      <c r="B59" s="165">
        <f>DATE(20,8,1)</f>
        <v>7519</v>
      </c>
      <c r="C59" s="226">
        <v>129077535.78</v>
      </c>
      <c r="D59" s="226">
        <v>12772714.18</v>
      </c>
      <c r="E59" s="226">
        <v>13870661.279999999</v>
      </c>
      <c r="F59" s="166">
        <f>(+D59-E59)/E59</f>
        <v>-7.9156074669858828E-2</v>
      </c>
      <c r="G59" s="241">
        <f>D59/C59</f>
        <v>9.8953811775349024E-2</v>
      </c>
      <c r="H59" s="242">
        <f>1-G59</f>
        <v>0.90104618822465099</v>
      </c>
      <c r="I59" s="157"/>
    </row>
    <row r="60" spans="1:9" ht="15.75" x14ac:dyDescent="0.25">
      <c r="A60" s="164"/>
      <c r="B60" s="165">
        <f>DATE(20,9,1)</f>
        <v>7550</v>
      </c>
      <c r="C60" s="226">
        <v>120244266.26000001</v>
      </c>
      <c r="D60" s="226">
        <v>12144964.720000001</v>
      </c>
      <c r="E60" s="226">
        <v>12786419.43</v>
      </c>
      <c r="F60" s="166">
        <f>(+D60-E60)/E60</f>
        <v>-5.0166875372083662E-2</v>
      </c>
      <c r="G60" s="241">
        <f>D60/C60</f>
        <v>0.10100244359044418</v>
      </c>
      <c r="H60" s="242">
        <f>1-G60</f>
        <v>0.89899755640955581</v>
      </c>
      <c r="I60" s="157"/>
    </row>
    <row r="61" spans="1:9" ht="15.75" customHeight="1" thickBot="1" x14ac:dyDescent="0.3">
      <c r="A61" s="164"/>
      <c r="B61" s="165"/>
      <c r="C61" s="226"/>
      <c r="D61" s="226"/>
      <c r="E61" s="226"/>
      <c r="F61" s="166"/>
      <c r="G61" s="241"/>
      <c r="H61" s="242"/>
      <c r="I61" s="157"/>
    </row>
    <row r="62" spans="1:9" ht="17.25" thickTop="1" thickBot="1" x14ac:dyDescent="0.3">
      <c r="A62" s="174" t="s">
        <v>14</v>
      </c>
      <c r="B62" s="181"/>
      <c r="C62" s="228">
        <f>SUM(C58:C61)</f>
        <v>372239718.18000001</v>
      </c>
      <c r="D62" s="228">
        <f>SUM(D58:D61)</f>
        <v>37042318.009999998</v>
      </c>
      <c r="E62" s="228">
        <f>SUM(E58:E61)</f>
        <v>40220025.25</v>
      </c>
      <c r="F62" s="176">
        <f>(+D62-E62)/E62</f>
        <v>-7.9008086649572706E-2</v>
      </c>
      <c r="G62" s="245">
        <f>D62/C62</f>
        <v>9.9511997782267381E-2</v>
      </c>
      <c r="H62" s="246">
        <f>1-G62</f>
        <v>0.90048800221773262</v>
      </c>
      <c r="I62" s="157"/>
    </row>
    <row r="63" spans="1:9" ht="15.75" thickTop="1" x14ac:dyDescent="0.2">
      <c r="A63" s="171"/>
      <c r="B63" s="172"/>
      <c r="C63" s="227"/>
      <c r="D63" s="227"/>
      <c r="E63" s="227"/>
      <c r="F63" s="173"/>
      <c r="G63" s="243"/>
      <c r="H63" s="244"/>
      <c r="I63" s="157"/>
    </row>
    <row r="64" spans="1:9" ht="15.75" x14ac:dyDescent="0.25">
      <c r="A64" s="164" t="s">
        <v>54</v>
      </c>
      <c r="B64" s="165">
        <f>DATE(20,7,1)</f>
        <v>7488</v>
      </c>
      <c r="C64" s="226">
        <v>139778413.28999999</v>
      </c>
      <c r="D64" s="226">
        <v>13113665.15</v>
      </c>
      <c r="E64" s="226">
        <v>16247033.9</v>
      </c>
      <c r="F64" s="166">
        <f>(+D64-E64)/E64</f>
        <v>-0.19285789451082513</v>
      </c>
      <c r="G64" s="241">
        <f>D64/C64</f>
        <v>9.3817527623474437E-2</v>
      </c>
      <c r="H64" s="242">
        <f>1-G64</f>
        <v>0.90618247237652561</v>
      </c>
      <c r="I64" s="157"/>
    </row>
    <row r="65" spans="1:9" ht="15.75" x14ac:dyDescent="0.25">
      <c r="A65" s="164"/>
      <c r="B65" s="165">
        <f>DATE(20,8,1)</f>
        <v>7519</v>
      </c>
      <c r="C65" s="226">
        <v>139190485.06</v>
      </c>
      <c r="D65" s="226">
        <v>13163225.939999999</v>
      </c>
      <c r="E65" s="226">
        <v>16871517.800000001</v>
      </c>
      <c r="F65" s="166">
        <f>(+D65-E65)/E65</f>
        <v>-0.21979598421192437</v>
      </c>
      <c r="G65" s="241">
        <f>D65/C65</f>
        <v>9.4569869013142724E-2</v>
      </c>
      <c r="H65" s="242">
        <f>1-G65</f>
        <v>0.90543013098685732</v>
      </c>
      <c r="I65" s="157"/>
    </row>
    <row r="66" spans="1:9" ht="15.75" x14ac:dyDescent="0.25">
      <c r="A66" s="164"/>
      <c r="B66" s="165">
        <f>DATE(20,9,1)</f>
        <v>7550</v>
      </c>
      <c r="C66" s="226">
        <v>144179628.53</v>
      </c>
      <c r="D66" s="226">
        <v>13632742.51</v>
      </c>
      <c r="E66" s="226">
        <v>15944541.300000001</v>
      </c>
      <c r="F66" s="166">
        <f>(+D66-E66)/E66</f>
        <v>-0.1449899841270442</v>
      </c>
      <c r="G66" s="241">
        <f>D66/C66</f>
        <v>9.4553874559077419E-2</v>
      </c>
      <c r="H66" s="242">
        <f>1-G66</f>
        <v>0.90544612544092262</v>
      </c>
      <c r="I66" s="157"/>
    </row>
    <row r="67" spans="1:9" ht="15.75" thickBot="1" x14ac:dyDescent="0.25">
      <c r="A67" s="167"/>
      <c r="B67" s="168"/>
      <c r="C67" s="226"/>
      <c r="D67" s="226"/>
      <c r="E67" s="226"/>
      <c r="F67" s="166"/>
      <c r="G67" s="241"/>
      <c r="H67" s="242"/>
      <c r="I67" s="157"/>
    </row>
    <row r="68" spans="1:9" ht="17.25" thickTop="1" thickBot="1" x14ac:dyDescent="0.3">
      <c r="A68" s="174" t="s">
        <v>14</v>
      </c>
      <c r="B68" s="175"/>
      <c r="C68" s="228">
        <f>SUM(C64:C67)</f>
        <v>423148526.88</v>
      </c>
      <c r="D68" s="228">
        <f>SUM(D64:D67)</f>
        <v>39909633.600000001</v>
      </c>
      <c r="E68" s="228">
        <f>SUM(E64:E67)</f>
        <v>49063093</v>
      </c>
      <c r="F68" s="176">
        <f>(+D68-E68)/E68</f>
        <v>-0.18656507040842285</v>
      </c>
      <c r="G68" s="249">
        <f>D68/C68</f>
        <v>9.4315898708818874E-2</v>
      </c>
      <c r="H68" s="270">
        <f>1-G68</f>
        <v>0.90568410129118115</v>
      </c>
      <c r="I68" s="157"/>
    </row>
    <row r="69" spans="1:9" ht="15.75" thickTop="1" x14ac:dyDescent="0.2">
      <c r="A69" s="167"/>
      <c r="B69" s="168"/>
      <c r="C69" s="226"/>
      <c r="D69" s="226"/>
      <c r="E69" s="226"/>
      <c r="F69" s="166"/>
      <c r="G69" s="241"/>
      <c r="H69" s="242"/>
      <c r="I69" s="157"/>
    </row>
    <row r="70" spans="1:9" ht="15.75" x14ac:dyDescent="0.25">
      <c r="A70" s="164" t="s">
        <v>55</v>
      </c>
      <c r="B70" s="165">
        <f>DATE(20,7,1)</f>
        <v>7488</v>
      </c>
      <c r="C70" s="226">
        <v>25124152.59</v>
      </c>
      <c r="D70" s="226">
        <v>2784731.95</v>
      </c>
      <c r="E70" s="226">
        <v>2612988.94</v>
      </c>
      <c r="F70" s="166">
        <f>(+D70-E70)/E70</f>
        <v>6.5726650186280641E-2</v>
      </c>
      <c r="G70" s="241">
        <f>D70/C70</f>
        <v>0.11083884083351685</v>
      </c>
      <c r="H70" s="242">
        <f>1-G70</f>
        <v>0.88916115916648319</v>
      </c>
      <c r="I70" s="157"/>
    </row>
    <row r="71" spans="1:9" ht="15.75" x14ac:dyDescent="0.25">
      <c r="A71" s="164"/>
      <c r="B71" s="165">
        <f>DATE(20,8,1)</f>
        <v>7519</v>
      </c>
      <c r="C71" s="226">
        <v>26128366.460000001</v>
      </c>
      <c r="D71" s="226">
        <v>2961173.82</v>
      </c>
      <c r="E71" s="226">
        <v>2826240.12</v>
      </c>
      <c r="F71" s="166">
        <f>(+D71-E71)/E71</f>
        <v>4.7743183264980227E-2</v>
      </c>
      <c r="G71" s="241">
        <f>D71/C71</f>
        <v>0.1133317624174198</v>
      </c>
      <c r="H71" s="242">
        <f>1-G71</f>
        <v>0.88666823758258018</v>
      </c>
      <c r="I71" s="157"/>
    </row>
    <row r="72" spans="1:9" ht="15.75" x14ac:dyDescent="0.25">
      <c r="A72" s="164"/>
      <c r="B72" s="165">
        <f>DATE(20,9,1)</f>
        <v>7550</v>
      </c>
      <c r="C72" s="226">
        <v>25242024.670000002</v>
      </c>
      <c r="D72" s="226">
        <v>2707604.99</v>
      </c>
      <c r="E72" s="226">
        <v>2549839.52</v>
      </c>
      <c r="F72" s="166">
        <f>(+D72-E72)/E72</f>
        <v>6.1872705620313002E-2</v>
      </c>
      <c r="G72" s="241">
        <f>D72/C72</f>
        <v>0.10726576118190602</v>
      </c>
      <c r="H72" s="242">
        <f>1-G72</f>
        <v>0.89273423881809399</v>
      </c>
      <c r="I72" s="157"/>
    </row>
    <row r="73" spans="1:9" ht="15.75" thickBot="1" x14ac:dyDescent="0.25">
      <c r="A73" s="167"/>
      <c r="B73" s="168"/>
      <c r="C73" s="226"/>
      <c r="D73" s="226"/>
      <c r="E73" s="226"/>
      <c r="F73" s="166"/>
      <c r="G73" s="241"/>
      <c r="H73" s="242"/>
      <c r="I73" s="157"/>
    </row>
    <row r="74" spans="1:9" ht="17.25" thickTop="1" thickBot="1" x14ac:dyDescent="0.3">
      <c r="A74" s="182" t="s">
        <v>14</v>
      </c>
      <c r="B74" s="183"/>
      <c r="C74" s="230">
        <f>SUM(C70:C73)</f>
        <v>76494543.719999999</v>
      </c>
      <c r="D74" s="230">
        <f>SUM(D70:D73)</f>
        <v>8453510.7599999998</v>
      </c>
      <c r="E74" s="230">
        <f>SUM(E70:E73)</f>
        <v>7989068.5800000001</v>
      </c>
      <c r="F74" s="176">
        <f>(+D74-E74)/E74</f>
        <v>5.8134709365581599E-2</v>
      </c>
      <c r="G74" s="249">
        <f>D74/C74</f>
        <v>0.11051129072608318</v>
      </c>
      <c r="H74" s="246">
        <f>1-G74</f>
        <v>0.88948870927391677</v>
      </c>
      <c r="I74" s="157"/>
    </row>
    <row r="75" spans="1:9" ht="15.75" thickTop="1" x14ac:dyDescent="0.2">
      <c r="A75" s="167"/>
      <c r="B75" s="168"/>
      <c r="C75" s="226"/>
      <c r="D75" s="226"/>
      <c r="E75" s="226"/>
      <c r="F75" s="166"/>
      <c r="G75" s="241"/>
      <c r="H75" s="242"/>
      <c r="I75" s="157"/>
    </row>
    <row r="76" spans="1:9" ht="15.75" x14ac:dyDescent="0.25">
      <c r="A76" s="164" t="s">
        <v>37</v>
      </c>
      <c r="B76" s="165">
        <f>DATE(20,7,1)</f>
        <v>7488</v>
      </c>
      <c r="C76" s="226">
        <v>193788423.05000001</v>
      </c>
      <c r="D76" s="226">
        <v>17781520.260000002</v>
      </c>
      <c r="E76" s="226">
        <v>19119192.239999998</v>
      </c>
      <c r="F76" s="166">
        <f>(+D76-E76)/E76</f>
        <v>-6.9964879436768337E-2</v>
      </c>
      <c r="G76" s="241">
        <f>D76/C76</f>
        <v>9.1757391799468485E-2</v>
      </c>
      <c r="H76" s="242">
        <f>1-G76</f>
        <v>0.90824260820053149</v>
      </c>
      <c r="I76" s="157"/>
    </row>
    <row r="77" spans="1:9" ht="15.75" x14ac:dyDescent="0.25">
      <c r="A77" s="164"/>
      <c r="B77" s="165">
        <f>DATE(20,8,1)</f>
        <v>7519</v>
      </c>
      <c r="C77" s="226">
        <v>187407837.13</v>
      </c>
      <c r="D77" s="226">
        <v>17286123.989999998</v>
      </c>
      <c r="E77" s="226">
        <v>19394509.940000001</v>
      </c>
      <c r="F77" s="166">
        <f>(+D77-E77)/E77</f>
        <v>-0.10871045241785587</v>
      </c>
      <c r="G77" s="241">
        <f>D77/C77</f>
        <v>9.223799951337712E-2</v>
      </c>
      <c r="H77" s="242">
        <f>1-G77</f>
        <v>0.90776200048662292</v>
      </c>
      <c r="I77" s="157"/>
    </row>
    <row r="78" spans="1:9" ht="15.75" x14ac:dyDescent="0.25">
      <c r="A78" s="164"/>
      <c r="B78" s="165">
        <f>DATE(20,9,1)</f>
        <v>7550</v>
      </c>
      <c r="C78" s="226">
        <v>182127854.37</v>
      </c>
      <c r="D78" s="226">
        <v>16702603.76</v>
      </c>
      <c r="E78" s="226">
        <v>17543226.640000001</v>
      </c>
      <c r="F78" s="166">
        <f>(+D78-E78)/E78</f>
        <v>-4.7917233086604005E-2</v>
      </c>
      <c r="G78" s="241">
        <f>D78/C78</f>
        <v>9.1708123492565796E-2</v>
      </c>
      <c r="H78" s="242">
        <f>1-G78</f>
        <v>0.90829187650743415</v>
      </c>
      <c r="I78" s="157"/>
    </row>
    <row r="79" spans="1:9" ht="15.75" thickBot="1" x14ac:dyDescent="0.25">
      <c r="A79" s="167"/>
      <c r="B79" s="168"/>
      <c r="C79" s="226"/>
      <c r="D79" s="226"/>
      <c r="E79" s="226"/>
      <c r="F79" s="166"/>
      <c r="G79" s="241"/>
      <c r="H79" s="242"/>
      <c r="I79" s="157"/>
    </row>
    <row r="80" spans="1:9" ht="17.25" thickTop="1" thickBot="1" x14ac:dyDescent="0.3">
      <c r="A80" s="174" t="s">
        <v>14</v>
      </c>
      <c r="B80" s="175"/>
      <c r="C80" s="228">
        <f>SUM(C76:C79)</f>
        <v>563324114.54999995</v>
      </c>
      <c r="D80" s="228">
        <f>SUM(D76:D79)</f>
        <v>51770248.009999998</v>
      </c>
      <c r="E80" s="228">
        <f>SUM(E76:E79)</f>
        <v>56056928.82</v>
      </c>
      <c r="F80" s="176">
        <f>(+D80-E80)/E80</f>
        <v>-7.6470133134917656E-2</v>
      </c>
      <c r="G80" s="245">
        <f>D80/C80</f>
        <v>9.1901352476905077E-2</v>
      </c>
      <c r="H80" s="246">
        <f>1-G80</f>
        <v>0.90809864752309488</v>
      </c>
      <c r="I80" s="157"/>
    </row>
    <row r="81" spans="1:9" ht="15.75" thickTop="1" x14ac:dyDescent="0.2">
      <c r="A81" s="167"/>
      <c r="B81" s="168"/>
      <c r="C81" s="226"/>
      <c r="D81" s="226"/>
      <c r="E81" s="226"/>
      <c r="F81" s="166"/>
      <c r="G81" s="241"/>
      <c r="H81" s="242"/>
      <c r="I81" s="157"/>
    </row>
    <row r="82" spans="1:9" ht="15.75" x14ac:dyDescent="0.25">
      <c r="A82" s="164" t="s">
        <v>58</v>
      </c>
      <c r="B82" s="165">
        <f>DATE(20,7,1)</f>
        <v>7488</v>
      </c>
      <c r="C82" s="226">
        <v>30630065.859999999</v>
      </c>
      <c r="D82" s="226">
        <v>3357321.79</v>
      </c>
      <c r="E82" s="226">
        <v>3293709.88</v>
      </c>
      <c r="F82" s="166">
        <f>(+D82-E82)/E82</f>
        <v>1.9313149098608574E-2</v>
      </c>
      <c r="G82" s="241">
        <f>D82/C82</f>
        <v>0.10960870294387282</v>
      </c>
      <c r="H82" s="242">
        <f>1-G82</f>
        <v>0.89039129705612718</v>
      </c>
      <c r="I82" s="157"/>
    </row>
    <row r="83" spans="1:9" ht="15.75" x14ac:dyDescent="0.25">
      <c r="A83" s="164"/>
      <c r="B83" s="165">
        <f>DATE(20,8,1)</f>
        <v>7519</v>
      </c>
      <c r="C83" s="226">
        <v>29521795.920000002</v>
      </c>
      <c r="D83" s="226">
        <v>3360444.04</v>
      </c>
      <c r="E83" s="226">
        <v>3283356.99</v>
      </c>
      <c r="F83" s="166">
        <f>(+D83-E83)/E83</f>
        <v>2.3478120178457906E-2</v>
      </c>
      <c r="G83" s="241">
        <f>D83/C83</f>
        <v>0.11382925514106053</v>
      </c>
      <c r="H83" s="242">
        <f>1-G83</f>
        <v>0.88617074485893943</v>
      </c>
      <c r="I83" s="157"/>
    </row>
    <row r="84" spans="1:9" ht="15.75" x14ac:dyDescent="0.25">
      <c r="A84" s="164"/>
      <c r="B84" s="165">
        <f>DATE(20,9,1)</f>
        <v>7550</v>
      </c>
      <c r="C84" s="226">
        <v>27722632.809999999</v>
      </c>
      <c r="D84" s="226">
        <v>3031984.28</v>
      </c>
      <c r="E84" s="226">
        <v>3164787.25</v>
      </c>
      <c r="F84" s="166">
        <f>(+D84-E84)/E84</f>
        <v>-4.1962684853460594E-2</v>
      </c>
      <c r="G84" s="241">
        <f>D84/C84</f>
        <v>0.10936855459508574</v>
      </c>
      <c r="H84" s="242">
        <f>1-G84</f>
        <v>0.89063144540491423</v>
      </c>
      <c r="I84" s="157"/>
    </row>
    <row r="85" spans="1:9" ht="15.75" thickBot="1" x14ac:dyDescent="0.25">
      <c r="A85" s="167"/>
      <c r="B85" s="168"/>
      <c r="C85" s="226"/>
      <c r="D85" s="226"/>
      <c r="E85" s="226"/>
      <c r="F85" s="166"/>
      <c r="G85" s="241"/>
      <c r="H85" s="242"/>
      <c r="I85" s="157"/>
    </row>
    <row r="86" spans="1:9" ht="17.25" thickTop="1" thickBot="1" x14ac:dyDescent="0.3">
      <c r="A86" s="169" t="s">
        <v>14</v>
      </c>
      <c r="B86" s="155"/>
      <c r="C86" s="223">
        <f>SUM(C82:C85)</f>
        <v>87874494.590000004</v>
      </c>
      <c r="D86" s="223">
        <f>SUM(D82:D85)</f>
        <v>9749750.1099999994</v>
      </c>
      <c r="E86" s="223">
        <f>SUM(E82:E85)</f>
        <v>9741854.120000001</v>
      </c>
      <c r="F86" s="176">
        <f>(+D86-E86)/E86</f>
        <v>8.1052229921898687E-4</v>
      </c>
      <c r="G86" s="245">
        <f>D86/C86</f>
        <v>0.11095085275300699</v>
      </c>
      <c r="H86" s="246">
        <f>1-G86</f>
        <v>0.88904914724699302</v>
      </c>
      <c r="I86" s="157"/>
    </row>
    <row r="87" spans="1:9" ht="16.5" thickTop="1" thickBot="1" x14ac:dyDescent="0.25">
      <c r="A87" s="171"/>
      <c r="B87" s="172"/>
      <c r="C87" s="227"/>
      <c r="D87" s="227"/>
      <c r="E87" s="227"/>
      <c r="F87" s="173"/>
      <c r="G87" s="243"/>
      <c r="H87" s="244"/>
      <c r="I87" s="157"/>
    </row>
    <row r="88" spans="1:9" ht="17.25" thickTop="1" thickBot="1" x14ac:dyDescent="0.3">
      <c r="A88" s="184" t="s">
        <v>38</v>
      </c>
      <c r="B88" s="155"/>
      <c r="C88" s="223">
        <f>C86+C80+C62+C50+C38+C26+C14+C32+C74+C20+C56+C68+C44</f>
        <v>3499531191.1999998</v>
      </c>
      <c r="D88" s="223">
        <f>D86+D80+D62+D50+D38+D26+D14+D32+D74+D20+D56+D68+D44</f>
        <v>341243566.34000003</v>
      </c>
      <c r="E88" s="223">
        <f>E86+E80+E62+E50+E38+E26+E14+E32+E74+E20+E56+E68+E44</f>
        <v>371999053</v>
      </c>
      <c r="F88" s="170">
        <f>(+D88-E88)/E88</f>
        <v>-8.2676249877442473E-2</v>
      </c>
      <c r="G88" s="236">
        <f>D88/C88</f>
        <v>9.7511222988410223E-2</v>
      </c>
      <c r="H88" s="237">
        <f>1-G88</f>
        <v>0.9024887770115898</v>
      </c>
      <c r="I88" s="157"/>
    </row>
    <row r="89" spans="1:9" ht="17.25" thickTop="1" thickBot="1" x14ac:dyDescent="0.3">
      <c r="A89" s="184"/>
      <c r="B89" s="155"/>
      <c r="C89" s="223"/>
      <c r="D89" s="223"/>
      <c r="E89" s="223"/>
      <c r="F89" s="170"/>
      <c r="G89" s="236"/>
      <c r="H89" s="237"/>
      <c r="I89" s="157"/>
    </row>
    <row r="90" spans="1:9" ht="17.25" thickTop="1" thickBot="1" x14ac:dyDescent="0.3">
      <c r="A90" s="184" t="s">
        <v>39</v>
      </c>
      <c r="B90" s="155"/>
      <c r="C90" s="223">
        <f>SUM(C12+C18+C24+C30+C36+C42+C48+C54+C60+C66+C72+C78+C84)</f>
        <v>1150670840.73</v>
      </c>
      <c r="D90" s="223">
        <f>SUM(D12+D18+D24+D30+D36+D42+D48+D54+D60+D66+D72+D78+D84)</f>
        <v>112050129.83000001</v>
      </c>
      <c r="E90" s="223">
        <f>SUM(E12+E18+E24+E30+E36+E42+E48+E54+E60+E66+E72+E78+E84)</f>
        <v>118783078.14999999</v>
      </c>
      <c r="F90" s="170">
        <f>(+D90-E90)/E90</f>
        <v>-5.6682723034821254E-2</v>
      </c>
      <c r="G90" s="236">
        <f>D90/C90</f>
        <v>9.7378090991611474E-2</v>
      </c>
      <c r="H90" s="246">
        <f>1-G90</f>
        <v>0.90262190900838857</v>
      </c>
      <c r="I90" s="157"/>
    </row>
    <row r="91" spans="1:9" ht="16.5" thickTop="1" x14ac:dyDescent="0.25">
      <c r="A91" s="185"/>
      <c r="B91" s="186"/>
      <c r="C91" s="231"/>
      <c r="D91" s="231"/>
      <c r="E91" s="231"/>
      <c r="F91" s="187"/>
      <c r="G91" s="250"/>
      <c r="H91" s="250"/>
      <c r="I91" s="151"/>
    </row>
    <row r="92" spans="1:9" ht="16.5" customHeight="1" x14ac:dyDescent="0.3">
      <c r="A92" s="188" t="s">
        <v>49</v>
      </c>
      <c r="B92" s="189"/>
      <c r="C92" s="232"/>
      <c r="D92" s="232"/>
      <c r="E92" s="232"/>
      <c r="F92" s="190"/>
      <c r="G92" s="251"/>
      <c r="H92" s="251"/>
      <c r="I92" s="151"/>
    </row>
    <row r="93" spans="1:9" ht="15.75" x14ac:dyDescent="0.25">
      <c r="A93" s="191"/>
      <c r="B93" s="189"/>
      <c r="C93" s="232"/>
      <c r="D93" s="232"/>
      <c r="E93" s="232"/>
      <c r="F93" s="190"/>
      <c r="G93" s="257"/>
      <c r="H93" s="257"/>
      <c r="I93" s="151"/>
    </row>
    <row r="94" spans="1:9" ht="15.75" x14ac:dyDescent="0.25">
      <c r="A94" s="72"/>
      <c r="I94" s="151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1" manualBreakCount="1">
    <brk id="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2020-10-08T13:30:08Z</cp:lastPrinted>
  <dcterms:created xsi:type="dcterms:W3CDTF">2003-09-09T14:41:43Z</dcterms:created>
  <dcterms:modified xsi:type="dcterms:W3CDTF">2020-10-09T17:32:32Z</dcterms:modified>
</cp:coreProperties>
</file>