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2017mgcweb\Casino_Gaming\rb_financials\FY22_FinReport\10_Oct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STATS'!$A$1:$M$104</definedName>
    <definedName name="_xlnm.Print_Area" localSheetId="4">'SLOT STATS'!$A$1:$I$105</definedName>
    <definedName name="_xlnm.Print_Area" localSheetId="2">'TABLE STATS'!$A$1:$H$105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03" i="4" l="1"/>
  <c r="D103" i="4"/>
  <c r="C103" i="4"/>
  <c r="F97" i="4"/>
  <c r="G97" i="4"/>
  <c r="H97" i="4"/>
  <c r="F90" i="4"/>
  <c r="G90" i="4"/>
  <c r="H90" i="4" s="1"/>
  <c r="F83" i="4"/>
  <c r="G83" i="4"/>
  <c r="H83" i="4"/>
  <c r="F76" i="4"/>
  <c r="G76" i="4"/>
  <c r="H76" i="4" s="1"/>
  <c r="F69" i="4"/>
  <c r="G69" i="4"/>
  <c r="H69" i="4"/>
  <c r="F62" i="4"/>
  <c r="G62" i="4"/>
  <c r="H62" i="4" s="1"/>
  <c r="F55" i="4"/>
  <c r="G55" i="4"/>
  <c r="H55" i="4"/>
  <c r="F48" i="4"/>
  <c r="G48" i="4"/>
  <c r="H48" i="4" s="1"/>
  <c r="F41" i="4"/>
  <c r="G41" i="4"/>
  <c r="H41" i="4"/>
  <c r="F34" i="4"/>
  <c r="G34" i="4"/>
  <c r="H34" i="4" s="1"/>
  <c r="F27" i="4"/>
  <c r="G27" i="4"/>
  <c r="H27" i="4"/>
  <c r="F20" i="4"/>
  <c r="G20" i="4"/>
  <c r="H20" i="4" s="1"/>
  <c r="G13" i="4"/>
  <c r="H13" i="4" s="1"/>
  <c r="F13" i="4"/>
  <c r="B97" i="4"/>
  <c r="B90" i="4"/>
  <c r="B83" i="4"/>
  <c r="B76" i="4"/>
  <c r="B69" i="4"/>
  <c r="B62" i="4"/>
  <c r="B55" i="4"/>
  <c r="B48" i="4"/>
  <c r="B41" i="4"/>
  <c r="B34" i="4"/>
  <c r="B27" i="4"/>
  <c r="B20" i="4"/>
  <c r="B13" i="4"/>
  <c r="E103" i="5"/>
  <c r="D103" i="5"/>
  <c r="C103" i="5"/>
  <c r="G90" i="5"/>
  <c r="H90" i="5"/>
  <c r="B97" i="5"/>
  <c r="B90" i="5"/>
  <c r="B83" i="5"/>
  <c r="B76" i="5"/>
  <c r="B69" i="5"/>
  <c r="B62" i="5"/>
  <c r="B55" i="5"/>
  <c r="B48" i="5"/>
  <c r="B41" i="5"/>
  <c r="B34" i="5"/>
  <c r="B27" i="5"/>
  <c r="B20" i="5"/>
  <c r="B13" i="5"/>
  <c r="E103" i="3"/>
  <c r="D103" i="3"/>
  <c r="F103" i="3"/>
  <c r="C103" i="3"/>
  <c r="F97" i="3"/>
  <c r="G97" i="3"/>
  <c r="F90" i="3"/>
  <c r="G90" i="3"/>
  <c r="F83" i="3"/>
  <c r="G83" i="3"/>
  <c r="F76" i="3"/>
  <c r="G76" i="3"/>
  <c r="F69" i="3"/>
  <c r="G69" i="3"/>
  <c r="G62" i="3"/>
  <c r="F62" i="3"/>
  <c r="F54" i="3"/>
  <c r="G54" i="3"/>
  <c r="F47" i="3"/>
  <c r="G47" i="3"/>
  <c r="F40" i="3"/>
  <c r="G40" i="3"/>
  <c r="F33" i="3"/>
  <c r="G33" i="3"/>
  <c r="F26" i="3"/>
  <c r="G26" i="3"/>
  <c r="F19" i="3"/>
  <c r="G19" i="3"/>
  <c r="G12" i="3"/>
  <c r="F12" i="3"/>
  <c r="B97" i="3"/>
  <c r="B90" i="3"/>
  <c r="B83" i="3"/>
  <c r="B76" i="3"/>
  <c r="B69" i="3"/>
  <c r="B62" i="3"/>
  <c r="B54" i="3"/>
  <c r="B47" i="3"/>
  <c r="B40" i="3"/>
  <c r="B33" i="3"/>
  <c r="B26" i="3"/>
  <c r="B19" i="3"/>
  <c r="B12" i="3"/>
  <c r="N34" i="2"/>
  <c r="M34" i="2"/>
  <c r="L34" i="2"/>
  <c r="K34" i="2"/>
  <c r="J34" i="2"/>
  <c r="I34" i="2"/>
  <c r="H34" i="2"/>
  <c r="G34" i="2"/>
  <c r="F34" i="2"/>
  <c r="E34" i="2"/>
  <c r="D34" i="2"/>
  <c r="D44" i="2" s="1"/>
  <c r="C34" i="2"/>
  <c r="O34" i="2" s="1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O13" i="2" s="1"/>
  <c r="C13" i="2"/>
  <c r="B13" i="2"/>
  <c r="A13" i="2"/>
  <c r="F10" i="1"/>
  <c r="F18" i="1"/>
  <c r="H18" i="1" s="1"/>
  <c r="F88" i="1"/>
  <c r="J88" i="1" s="1"/>
  <c r="F87" i="1"/>
  <c r="J87" i="1"/>
  <c r="L102" i="1"/>
  <c r="K102" i="1"/>
  <c r="M102" i="1" s="1"/>
  <c r="D102" i="1"/>
  <c r="E102" i="1"/>
  <c r="C102" i="1"/>
  <c r="M96" i="1"/>
  <c r="I96" i="1"/>
  <c r="J96" i="1"/>
  <c r="G96" i="1"/>
  <c r="F96" i="1"/>
  <c r="H96" i="1" s="1"/>
  <c r="E96" i="1"/>
  <c r="H89" i="1"/>
  <c r="M89" i="1"/>
  <c r="I89" i="1"/>
  <c r="J89" i="1"/>
  <c r="G89" i="1"/>
  <c r="G91" i="1"/>
  <c r="F89" i="1"/>
  <c r="E89" i="1"/>
  <c r="H82" i="1"/>
  <c r="M82" i="1"/>
  <c r="I82" i="1"/>
  <c r="G82" i="1"/>
  <c r="F82" i="1"/>
  <c r="J82" i="1" s="1"/>
  <c r="E82" i="1"/>
  <c r="M75" i="1"/>
  <c r="I75" i="1"/>
  <c r="G75" i="1"/>
  <c r="F75" i="1"/>
  <c r="H75" i="1" s="1"/>
  <c r="F77" i="1"/>
  <c r="J77" i="1" s="1"/>
  <c r="E75" i="1"/>
  <c r="M68" i="1"/>
  <c r="I68" i="1"/>
  <c r="G68" i="1"/>
  <c r="F68" i="1"/>
  <c r="J68" i="1" s="1"/>
  <c r="E68" i="1"/>
  <c r="H61" i="1"/>
  <c r="M61" i="1"/>
  <c r="I61" i="1"/>
  <c r="J61" i="1"/>
  <c r="G61" i="1"/>
  <c r="F61" i="1"/>
  <c r="E61" i="1"/>
  <c r="M54" i="1"/>
  <c r="I54" i="1"/>
  <c r="G54" i="1"/>
  <c r="F54" i="1"/>
  <c r="H54" i="1" s="1"/>
  <c r="E54" i="1"/>
  <c r="H47" i="1"/>
  <c r="M47" i="1"/>
  <c r="I47" i="1"/>
  <c r="J47" i="1"/>
  <c r="G47" i="1"/>
  <c r="F47" i="1"/>
  <c r="E47" i="1"/>
  <c r="M40" i="1"/>
  <c r="I40" i="1"/>
  <c r="J40" i="1"/>
  <c r="G40" i="1"/>
  <c r="F40" i="1"/>
  <c r="H40" i="1" s="1"/>
  <c r="E40" i="1"/>
  <c r="H33" i="1"/>
  <c r="M33" i="1"/>
  <c r="I33" i="1"/>
  <c r="G33" i="1"/>
  <c r="F33" i="1"/>
  <c r="J33" i="1" s="1"/>
  <c r="E33" i="1"/>
  <c r="H26" i="1"/>
  <c r="M26" i="1"/>
  <c r="I26" i="1"/>
  <c r="G26" i="1"/>
  <c r="F26" i="1"/>
  <c r="J26" i="1" s="1"/>
  <c r="E26" i="1"/>
  <c r="M19" i="1"/>
  <c r="I19" i="1"/>
  <c r="J19" i="1"/>
  <c r="G19" i="1"/>
  <c r="G21" i="1" s="1"/>
  <c r="F19" i="1"/>
  <c r="H19" i="1" s="1"/>
  <c r="E19" i="1"/>
  <c r="M12" i="1"/>
  <c r="J12" i="1"/>
  <c r="I12" i="1"/>
  <c r="E12" i="1"/>
  <c r="G12" i="1"/>
  <c r="G102" i="1" s="1"/>
  <c r="F12" i="1"/>
  <c r="H12" i="1" s="1"/>
  <c r="B96" i="1"/>
  <c r="B89" i="1"/>
  <c r="B82" i="1"/>
  <c r="B75" i="1"/>
  <c r="B68" i="1"/>
  <c r="B61" i="1"/>
  <c r="B54" i="1"/>
  <c r="B47" i="1"/>
  <c r="B40" i="1"/>
  <c r="B33" i="1"/>
  <c r="B26" i="1"/>
  <c r="B19" i="1"/>
  <c r="B12" i="1"/>
  <c r="G95" i="1"/>
  <c r="F95" i="1"/>
  <c r="H95" i="1" s="1"/>
  <c r="G88" i="1"/>
  <c r="G81" i="1"/>
  <c r="H81" i="1" s="1"/>
  <c r="F81" i="1"/>
  <c r="G74" i="1"/>
  <c r="H74" i="1"/>
  <c r="F74" i="1"/>
  <c r="G67" i="1"/>
  <c r="F67" i="1"/>
  <c r="H67" i="1" s="1"/>
  <c r="J67" i="1"/>
  <c r="G60" i="1"/>
  <c r="F60" i="1"/>
  <c r="G53" i="1"/>
  <c r="H53" i="1" s="1"/>
  <c r="F53" i="1"/>
  <c r="J53" i="1" s="1"/>
  <c r="G46" i="1"/>
  <c r="F46" i="1"/>
  <c r="J46" i="1"/>
  <c r="G39" i="1"/>
  <c r="F39" i="1"/>
  <c r="J39" i="1" s="1"/>
  <c r="G32" i="1"/>
  <c r="F32" i="1"/>
  <c r="J32" i="1" s="1"/>
  <c r="G25" i="1"/>
  <c r="F25" i="1"/>
  <c r="J25" i="1" s="1"/>
  <c r="H25" i="1"/>
  <c r="G18" i="1"/>
  <c r="G11" i="1"/>
  <c r="F11" i="1"/>
  <c r="J11" i="1" s="1"/>
  <c r="H11" i="1"/>
  <c r="G68" i="4"/>
  <c r="H68" i="4" s="1"/>
  <c r="F68" i="4"/>
  <c r="G61" i="4"/>
  <c r="H61" i="4" s="1"/>
  <c r="F61" i="4"/>
  <c r="G54" i="4"/>
  <c r="H54" i="4"/>
  <c r="F54" i="4"/>
  <c r="G47" i="4"/>
  <c r="H47" i="4"/>
  <c r="F47" i="4"/>
  <c r="H40" i="4"/>
  <c r="G40" i="4"/>
  <c r="F40" i="4"/>
  <c r="G33" i="4"/>
  <c r="H33" i="4" s="1"/>
  <c r="F33" i="4"/>
  <c r="G26" i="4"/>
  <c r="H26" i="4"/>
  <c r="F26" i="4"/>
  <c r="G19" i="4"/>
  <c r="H19" i="4"/>
  <c r="F19" i="4"/>
  <c r="G12" i="4"/>
  <c r="H12" i="4" s="1"/>
  <c r="F12" i="4"/>
  <c r="G75" i="4"/>
  <c r="H75" i="4" s="1"/>
  <c r="F75" i="4"/>
  <c r="G82" i="4"/>
  <c r="H82" i="4"/>
  <c r="F82" i="4"/>
  <c r="G89" i="4"/>
  <c r="H89" i="4"/>
  <c r="F89" i="4"/>
  <c r="G96" i="4"/>
  <c r="H96" i="4" s="1"/>
  <c r="F96" i="4"/>
  <c r="B96" i="4"/>
  <c r="B89" i="4"/>
  <c r="B82" i="4"/>
  <c r="B75" i="4"/>
  <c r="B68" i="4"/>
  <c r="B61" i="4"/>
  <c r="B54" i="4"/>
  <c r="B47" i="4"/>
  <c r="B40" i="4"/>
  <c r="B33" i="4"/>
  <c r="B26" i="4"/>
  <c r="B19" i="4"/>
  <c r="B12" i="4"/>
  <c r="G89" i="5"/>
  <c r="H89" i="5"/>
  <c r="B96" i="5"/>
  <c r="B89" i="5"/>
  <c r="B82" i="5"/>
  <c r="B75" i="5"/>
  <c r="B68" i="5"/>
  <c r="B61" i="5"/>
  <c r="B54" i="5"/>
  <c r="B47" i="5"/>
  <c r="B40" i="5"/>
  <c r="B33" i="5"/>
  <c r="B26" i="5"/>
  <c r="B19" i="5"/>
  <c r="B12" i="5"/>
  <c r="M95" i="1"/>
  <c r="I95" i="1"/>
  <c r="E95" i="1"/>
  <c r="M88" i="1"/>
  <c r="I88" i="1"/>
  <c r="E88" i="1"/>
  <c r="M81" i="1"/>
  <c r="J81" i="1"/>
  <c r="I81" i="1"/>
  <c r="E81" i="1"/>
  <c r="M74" i="1"/>
  <c r="J74" i="1"/>
  <c r="I74" i="1"/>
  <c r="E74" i="1"/>
  <c r="M67" i="1"/>
  <c r="I67" i="1"/>
  <c r="E67" i="1"/>
  <c r="M60" i="1"/>
  <c r="I60" i="1"/>
  <c r="H60" i="1"/>
  <c r="E60" i="1"/>
  <c r="M53" i="1"/>
  <c r="I53" i="1"/>
  <c r="E53" i="1"/>
  <c r="M46" i="1"/>
  <c r="I46" i="1"/>
  <c r="H46" i="1"/>
  <c r="E46" i="1"/>
  <c r="M39" i="1"/>
  <c r="I39" i="1"/>
  <c r="E39" i="1"/>
  <c r="M32" i="1"/>
  <c r="I32" i="1"/>
  <c r="E32" i="1"/>
  <c r="M25" i="1"/>
  <c r="I25" i="1"/>
  <c r="E25" i="1"/>
  <c r="M18" i="1"/>
  <c r="J18" i="1"/>
  <c r="I18" i="1"/>
  <c r="E18" i="1"/>
  <c r="I11" i="1"/>
  <c r="M11" i="1"/>
  <c r="E11" i="1"/>
  <c r="G89" i="3"/>
  <c r="F89" i="3"/>
  <c r="G82" i="3"/>
  <c r="F82" i="3"/>
  <c r="G75" i="3"/>
  <c r="F75" i="3"/>
  <c r="G68" i="3"/>
  <c r="F68" i="3"/>
  <c r="G61" i="3"/>
  <c r="F61" i="3"/>
  <c r="G53" i="3"/>
  <c r="F53" i="3"/>
  <c r="G46" i="3"/>
  <c r="F46" i="3"/>
  <c r="G39" i="3"/>
  <c r="F39" i="3"/>
  <c r="G32" i="3"/>
  <c r="F32" i="3"/>
  <c r="G25" i="3"/>
  <c r="F25" i="3"/>
  <c r="G18" i="3"/>
  <c r="F18" i="3"/>
  <c r="G11" i="3"/>
  <c r="F11" i="3"/>
  <c r="G96" i="3"/>
  <c r="F96" i="3"/>
  <c r="B82" i="3"/>
  <c r="B96" i="3"/>
  <c r="B89" i="3"/>
  <c r="B75" i="3"/>
  <c r="B68" i="3"/>
  <c r="B61" i="3"/>
  <c r="B53" i="3"/>
  <c r="B46" i="3"/>
  <c r="B39" i="3"/>
  <c r="B32" i="3"/>
  <c r="B25" i="3"/>
  <c r="B18" i="3"/>
  <c r="B11" i="3"/>
  <c r="N33" i="2"/>
  <c r="M33" i="2"/>
  <c r="L33" i="2"/>
  <c r="K33" i="2"/>
  <c r="J33" i="2"/>
  <c r="I33" i="2"/>
  <c r="I44" i="2" s="1"/>
  <c r="H33" i="2"/>
  <c r="G33" i="2"/>
  <c r="F33" i="2"/>
  <c r="E33" i="2"/>
  <c r="D33" i="2"/>
  <c r="C33" i="2"/>
  <c r="B33" i="2"/>
  <c r="O33" i="2" s="1"/>
  <c r="N12" i="2"/>
  <c r="N23" i="2" s="1"/>
  <c r="M12" i="2"/>
  <c r="L12" i="2"/>
  <c r="K12" i="2"/>
  <c r="J12" i="2"/>
  <c r="I12" i="2"/>
  <c r="H12" i="2"/>
  <c r="G12" i="2"/>
  <c r="F12" i="2"/>
  <c r="E12" i="2"/>
  <c r="D12" i="2"/>
  <c r="C12" i="2"/>
  <c r="B12" i="2"/>
  <c r="B23" i="2" s="1"/>
  <c r="A33" i="2"/>
  <c r="A12" i="2"/>
  <c r="B95" i="1"/>
  <c r="B88" i="1"/>
  <c r="B81" i="1"/>
  <c r="B74" i="1"/>
  <c r="B67" i="1"/>
  <c r="B60" i="1"/>
  <c r="B53" i="1"/>
  <c r="B46" i="1"/>
  <c r="B39" i="1"/>
  <c r="B32" i="1"/>
  <c r="B25" i="1"/>
  <c r="B18" i="1"/>
  <c r="B11" i="1"/>
  <c r="H95" i="4"/>
  <c r="G95" i="4"/>
  <c r="F95" i="4"/>
  <c r="G88" i="4"/>
  <c r="H88" i="4"/>
  <c r="F88" i="4"/>
  <c r="G81" i="4"/>
  <c r="H81" i="4" s="1"/>
  <c r="F81" i="4"/>
  <c r="G74" i="4"/>
  <c r="H74" i="4" s="1"/>
  <c r="F74" i="4"/>
  <c r="G67" i="4"/>
  <c r="H67" i="4" s="1"/>
  <c r="F67" i="4"/>
  <c r="G60" i="4"/>
  <c r="H60" i="4"/>
  <c r="F60" i="4"/>
  <c r="G53" i="4"/>
  <c r="H53" i="4" s="1"/>
  <c r="F53" i="4"/>
  <c r="G46" i="4"/>
  <c r="H46" i="4" s="1"/>
  <c r="F46" i="4"/>
  <c r="H39" i="4"/>
  <c r="G39" i="4"/>
  <c r="F39" i="4"/>
  <c r="G32" i="4"/>
  <c r="H32" i="4"/>
  <c r="F32" i="4"/>
  <c r="G25" i="4"/>
  <c r="H25" i="4"/>
  <c r="F25" i="4"/>
  <c r="H18" i="4"/>
  <c r="G18" i="4"/>
  <c r="F18" i="4"/>
  <c r="G11" i="4"/>
  <c r="H11" i="4" s="1"/>
  <c r="F11" i="4"/>
  <c r="B95" i="4"/>
  <c r="B88" i="4"/>
  <c r="B81" i="4"/>
  <c r="B74" i="4"/>
  <c r="B67" i="4"/>
  <c r="B60" i="4"/>
  <c r="B53" i="4"/>
  <c r="B46" i="4"/>
  <c r="B39" i="4"/>
  <c r="B32" i="4"/>
  <c r="B25" i="4"/>
  <c r="B18" i="4"/>
  <c r="B11" i="4"/>
  <c r="G88" i="5"/>
  <c r="H88" i="5" s="1"/>
  <c r="G87" i="5"/>
  <c r="H87" i="5" s="1"/>
  <c r="B95" i="5"/>
  <c r="B88" i="5"/>
  <c r="B81" i="5"/>
  <c r="B74" i="5"/>
  <c r="B67" i="5"/>
  <c r="B60" i="5"/>
  <c r="B53" i="5"/>
  <c r="B46" i="5"/>
  <c r="B39" i="5"/>
  <c r="B32" i="5"/>
  <c r="B25" i="5"/>
  <c r="B18" i="5"/>
  <c r="B11" i="5"/>
  <c r="G95" i="3"/>
  <c r="F95" i="3"/>
  <c r="G88" i="3"/>
  <c r="F88" i="3"/>
  <c r="G81" i="3"/>
  <c r="F81" i="3"/>
  <c r="G74" i="3"/>
  <c r="F74" i="3"/>
  <c r="G67" i="3"/>
  <c r="F67" i="3"/>
  <c r="G60" i="3"/>
  <c r="F60" i="3"/>
  <c r="G52" i="3"/>
  <c r="F52" i="3"/>
  <c r="G45" i="3"/>
  <c r="F45" i="3"/>
  <c r="G38" i="3"/>
  <c r="F38" i="3"/>
  <c r="G31" i="3"/>
  <c r="F31" i="3"/>
  <c r="G24" i="3"/>
  <c r="F24" i="3"/>
  <c r="G17" i="3"/>
  <c r="F17" i="3"/>
  <c r="G10" i="3"/>
  <c r="F10" i="3"/>
  <c r="B95" i="3"/>
  <c r="B88" i="3"/>
  <c r="B81" i="3"/>
  <c r="B74" i="3"/>
  <c r="B67" i="3"/>
  <c r="B60" i="3"/>
  <c r="B52" i="3"/>
  <c r="B45" i="3"/>
  <c r="B38" i="3"/>
  <c r="B31" i="3"/>
  <c r="B24" i="3"/>
  <c r="B17" i="3"/>
  <c r="B10" i="3"/>
  <c r="N32" i="2"/>
  <c r="M32" i="2"/>
  <c r="L32" i="2"/>
  <c r="K32" i="2"/>
  <c r="J32" i="2"/>
  <c r="I32" i="2"/>
  <c r="H32" i="2"/>
  <c r="G32" i="2"/>
  <c r="F32" i="2"/>
  <c r="E32" i="2"/>
  <c r="E44" i="2" s="1"/>
  <c r="D32" i="2"/>
  <c r="C32" i="2"/>
  <c r="B32" i="2"/>
  <c r="O32" i="2" s="1"/>
  <c r="N11" i="2"/>
  <c r="M11" i="2"/>
  <c r="L11" i="2"/>
  <c r="K11" i="2"/>
  <c r="J11" i="2"/>
  <c r="I11" i="2"/>
  <c r="H11" i="2"/>
  <c r="G11" i="2"/>
  <c r="F11" i="2"/>
  <c r="E11" i="2"/>
  <c r="D11" i="2"/>
  <c r="C11" i="2"/>
  <c r="O11" i="2" s="1"/>
  <c r="B11" i="2"/>
  <c r="B10" i="2"/>
  <c r="A32" i="2"/>
  <c r="A11" i="2"/>
  <c r="M94" i="1"/>
  <c r="J94" i="1"/>
  <c r="I94" i="1"/>
  <c r="H94" i="1"/>
  <c r="E94" i="1"/>
  <c r="G94" i="1"/>
  <c r="F94" i="1"/>
  <c r="M87" i="1"/>
  <c r="I87" i="1"/>
  <c r="E87" i="1"/>
  <c r="G87" i="1"/>
  <c r="M80" i="1"/>
  <c r="I80" i="1"/>
  <c r="H80" i="1"/>
  <c r="E80" i="1"/>
  <c r="G80" i="1"/>
  <c r="F80" i="1"/>
  <c r="J80" i="1" s="1"/>
  <c r="M73" i="1"/>
  <c r="I73" i="1"/>
  <c r="E73" i="1"/>
  <c r="G73" i="1"/>
  <c r="F73" i="1"/>
  <c r="J73" i="1" s="1"/>
  <c r="M66" i="1"/>
  <c r="J66" i="1"/>
  <c r="I66" i="1"/>
  <c r="E66" i="1"/>
  <c r="G66" i="1"/>
  <c r="F66" i="1"/>
  <c r="F70" i="1" s="1"/>
  <c r="H70" i="1" s="1"/>
  <c r="M59" i="1"/>
  <c r="J59" i="1"/>
  <c r="I59" i="1"/>
  <c r="E59" i="1"/>
  <c r="G59" i="1"/>
  <c r="H59" i="1" s="1"/>
  <c r="F59" i="1"/>
  <c r="M52" i="1"/>
  <c r="I52" i="1"/>
  <c r="E52" i="1"/>
  <c r="G52" i="1"/>
  <c r="F52" i="1"/>
  <c r="J52" i="1" s="1"/>
  <c r="M45" i="1"/>
  <c r="J45" i="1"/>
  <c r="I45" i="1"/>
  <c r="E45" i="1"/>
  <c r="G45" i="1"/>
  <c r="F45" i="1"/>
  <c r="H45" i="1" s="1"/>
  <c r="M38" i="1"/>
  <c r="I38" i="1"/>
  <c r="E38" i="1"/>
  <c r="G38" i="1"/>
  <c r="G42" i="1" s="1"/>
  <c r="F38" i="1"/>
  <c r="J38" i="1" s="1"/>
  <c r="M31" i="1"/>
  <c r="I31" i="1"/>
  <c r="H31" i="1"/>
  <c r="E31" i="1"/>
  <c r="G31" i="1"/>
  <c r="F31" i="1"/>
  <c r="J31" i="1" s="1"/>
  <c r="M24" i="1"/>
  <c r="J24" i="1"/>
  <c r="I24" i="1"/>
  <c r="H24" i="1"/>
  <c r="E24" i="1"/>
  <c r="G24" i="1"/>
  <c r="F24" i="1"/>
  <c r="M17" i="1"/>
  <c r="J17" i="1"/>
  <c r="I17" i="1"/>
  <c r="E17" i="1"/>
  <c r="G17" i="1"/>
  <c r="H17" i="1" s="1"/>
  <c r="F17" i="1"/>
  <c r="M10" i="1"/>
  <c r="J10" i="1"/>
  <c r="I10" i="1"/>
  <c r="H10" i="1"/>
  <c r="E10" i="1"/>
  <c r="G10" i="1"/>
  <c r="B94" i="1"/>
  <c r="B87" i="1"/>
  <c r="B80" i="1"/>
  <c r="B73" i="1"/>
  <c r="B66" i="1"/>
  <c r="B59" i="1"/>
  <c r="B52" i="1"/>
  <c r="B45" i="1"/>
  <c r="B38" i="1"/>
  <c r="B31" i="1"/>
  <c r="B24" i="1"/>
  <c r="B17" i="1"/>
  <c r="B10" i="1"/>
  <c r="A31" i="2"/>
  <c r="A10" i="2"/>
  <c r="B94" i="4"/>
  <c r="B87" i="4"/>
  <c r="B80" i="4"/>
  <c r="B73" i="4"/>
  <c r="B66" i="4"/>
  <c r="B59" i="4"/>
  <c r="B52" i="4"/>
  <c r="B45" i="4"/>
  <c r="B38" i="4"/>
  <c r="B31" i="4"/>
  <c r="B24" i="4"/>
  <c r="B17" i="4"/>
  <c r="B10" i="4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B94" i="3"/>
  <c r="B87" i="3"/>
  <c r="B80" i="3"/>
  <c r="B73" i="3"/>
  <c r="B66" i="3"/>
  <c r="B59" i="3"/>
  <c r="B51" i="3"/>
  <c r="B44" i="3"/>
  <c r="B37" i="3"/>
  <c r="B30" i="3"/>
  <c r="B23" i="3"/>
  <c r="B16" i="3"/>
  <c r="B9" i="3"/>
  <c r="G93" i="1"/>
  <c r="G98" i="1" s="1"/>
  <c r="F93" i="1"/>
  <c r="H93" i="1" s="1"/>
  <c r="G86" i="1"/>
  <c r="F86" i="1"/>
  <c r="J86" i="1" s="1"/>
  <c r="G79" i="1"/>
  <c r="G84" i="1" s="1"/>
  <c r="F79" i="1"/>
  <c r="G72" i="1"/>
  <c r="F72" i="1"/>
  <c r="G65" i="1"/>
  <c r="F65" i="1"/>
  <c r="G58" i="1"/>
  <c r="F58" i="1"/>
  <c r="J58" i="1" s="1"/>
  <c r="G51" i="1"/>
  <c r="G56" i="1" s="1"/>
  <c r="F51" i="1"/>
  <c r="H51" i="1" s="1"/>
  <c r="G44" i="1"/>
  <c r="G49" i="1" s="1"/>
  <c r="F44" i="1"/>
  <c r="F49" i="1" s="1"/>
  <c r="G37" i="1"/>
  <c r="F37" i="1"/>
  <c r="F42" i="1" s="1"/>
  <c r="H42" i="1" s="1"/>
  <c r="G30" i="1"/>
  <c r="G35" i="1" s="1"/>
  <c r="F30" i="1"/>
  <c r="J30" i="1" s="1"/>
  <c r="G23" i="1"/>
  <c r="G28" i="1" s="1"/>
  <c r="F23" i="1"/>
  <c r="J23" i="1" s="1"/>
  <c r="G16" i="1"/>
  <c r="F16" i="1"/>
  <c r="F21" i="1" s="1"/>
  <c r="G9" i="1"/>
  <c r="G14" i="1" s="1"/>
  <c r="F9" i="1"/>
  <c r="B93" i="1"/>
  <c r="B86" i="1"/>
  <c r="B79" i="1"/>
  <c r="B72" i="1"/>
  <c r="B65" i="1"/>
  <c r="B58" i="1"/>
  <c r="B51" i="1"/>
  <c r="B44" i="1"/>
  <c r="B37" i="1"/>
  <c r="B30" i="1"/>
  <c r="B23" i="1"/>
  <c r="B16" i="1"/>
  <c r="B9" i="1"/>
  <c r="J65" i="1"/>
  <c r="J79" i="1"/>
  <c r="J72" i="1"/>
  <c r="E99" i="5"/>
  <c r="D99" i="5"/>
  <c r="C99" i="5"/>
  <c r="E92" i="5"/>
  <c r="D92" i="5"/>
  <c r="G92" i="5" s="1"/>
  <c r="H92" i="5" s="1"/>
  <c r="C92" i="5"/>
  <c r="E85" i="5"/>
  <c r="D85" i="5"/>
  <c r="C85" i="5"/>
  <c r="E78" i="5"/>
  <c r="D78" i="5"/>
  <c r="C78" i="5"/>
  <c r="E71" i="5"/>
  <c r="D71" i="5"/>
  <c r="C71" i="5"/>
  <c r="E64" i="5"/>
  <c r="D64" i="5"/>
  <c r="C64" i="5"/>
  <c r="E57" i="5"/>
  <c r="D57" i="5"/>
  <c r="C57" i="5"/>
  <c r="E50" i="5"/>
  <c r="D50" i="5"/>
  <c r="C50" i="5"/>
  <c r="E43" i="5"/>
  <c r="D43" i="5"/>
  <c r="C43" i="5"/>
  <c r="E36" i="5"/>
  <c r="D36" i="5"/>
  <c r="C36" i="5"/>
  <c r="E29" i="5"/>
  <c r="D29" i="5"/>
  <c r="C29" i="5"/>
  <c r="E22" i="5"/>
  <c r="D22" i="5"/>
  <c r="C22" i="5"/>
  <c r="E15" i="5"/>
  <c r="D15" i="5"/>
  <c r="C15" i="5"/>
  <c r="L35" i="1"/>
  <c r="F45" i="4"/>
  <c r="F44" i="3"/>
  <c r="M44" i="1"/>
  <c r="E44" i="1"/>
  <c r="F94" i="4"/>
  <c r="F94" i="3"/>
  <c r="G31" i="2"/>
  <c r="G44" i="2" s="1"/>
  <c r="G10" i="2"/>
  <c r="G23" i="2" s="1"/>
  <c r="M93" i="1"/>
  <c r="E93" i="1"/>
  <c r="E50" i="4"/>
  <c r="D50" i="4"/>
  <c r="G50" i="4" s="1"/>
  <c r="H50" i="4" s="1"/>
  <c r="C50" i="4"/>
  <c r="G45" i="4"/>
  <c r="H45" i="4" s="1"/>
  <c r="E49" i="3"/>
  <c r="D49" i="3"/>
  <c r="C49" i="3"/>
  <c r="G49" i="3" s="1"/>
  <c r="G44" i="3"/>
  <c r="L49" i="1"/>
  <c r="D49" i="1"/>
  <c r="E49" i="1" s="1"/>
  <c r="C49" i="1"/>
  <c r="I44" i="1"/>
  <c r="G94" i="4"/>
  <c r="H94" i="4" s="1"/>
  <c r="G94" i="3"/>
  <c r="I93" i="1"/>
  <c r="D14" i="1"/>
  <c r="D21" i="1"/>
  <c r="D28" i="1"/>
  <c r="D35" i="1"/>
  <c r="E35" i="1" s="1"/>
  <c r="D42" i="1"/>
  <c r="D56" i="1"/>
  <c r="D63" i="1"/>
  <c r="D70" i="1"/>
  <c r="D77" i="1"/>
  <c r="D84" i="1"/>
  <c r="D91" i="1"/>
  <c r="D98" i="1"/>
  <c r="C98" i="1"/>
  <c r="C100" i="1" s="1"/>
  <c r="E100" i="1" s="1"/>
  <c r="C99" i="4"/>
  <c r="D99" i="4"/>
  <c r="D101" i="4" s="1"/>
  <c r="F99" i="4"/>
  <c r="C99" i="3"/>
  <c r="G99" i="3"/>
  <c r="D99" i="3"/>
  <c r="F99" i="3" s="1"/>
  <c r="E15" i="4"/>
  <c r="E22" i="4"/>
  <c r="E29" i="4"/>
  <c r="E36" i="4"/>
  <c r="F36" i="4" s="1"/>
  <c r="E43" i="4"/>
  <c r="E57" i="4"/>
  <c r="E64" i="4"/>
  <c r="F64" i="4"/>
  <c r="E71" i="4"/>
  <c r="E78" i="4"/>
  <c r="E85" i="4"/>
  <c r="E92" i="4"/>
  <c r="E99" i="4"/>
  <c r="D15" i="4"/>
  <c r="G15" i="4" s="1"/>
  <c r="H15" i="4" s="1"/>
  <c r="D22" i="4"/>
  <c r="D29" i="4"/>
  <c r="F29" i="4" s="1"/>
  <c r="D36" i="4"/>
  <c r="G36" i="4" s="1"/>
  <c r="H36" i="4" s="1"/>
  <c r="D43" i="4"/>
  <c r="G43" i="4" s="1"/>
  <c r="H43" i="4" s="1"/>
  <c r="D57" i="4"/>
  <c r="D64" i="4"/>
  <c r="D71" i="4"/>
  <c r="F71" i="4"/>
  <c r="D78" i="4"/>
  <c r="D85" i="4"/>
  <c r="G85" i="4" s="1"/>
  <c r="H85" i="4" s="1"/>
  <c r="F85" i="4"/>
  <c r="D92" i="4"/>
  <c r="F92" i="4" s="1"/>
  <c r="C15" i="4"/>
  <c r="C22" i="4"/>
  <c r="C29" i="4"/>
  <c r="C36" i="4"/>
  <c r="C43" i="4"/>
  <c r="C57" i="4"/>
  <c r="G57" i="4" s="1"/>
  <c r="H57" i="4" s="1"/>
  <c r="C64" i="4"/>
  <c r="G64" i="4"/>
  <c r="H64" i="4" s="1"/>
  <c r="C71" i="4"/>
  <c r="C101" i="4" s="1"/>
  <c r="C78" i="4"/>
  <c r="G78" i="4"/>
  <c r="H78" i="4" s="1"/>
  <c r="C85" i="4"/>
  <c r="C92" i="4"/>
  <c r="F73" i="4"/>
  <c r="E14" i="3"/>
  <c r="E21" i="3"/>
  <c r="E28" i="3"/>
  <c r="E35" i="3"/>
  <c r="E42" i="3"/>
  <c r="E56" i="3"/>
  <c r="E101" i="3" s="1"/>
  <c r="F56" i="3"/>
  <c r="E64" i="3"/>
  <c r="F64" i="3" s="1"/>
  <c r="E71" i="3"/>
  <c r="E78" i="3"/>
  <c r="E85" i="3"/>
  <c r="E92" i="3"/>
  <c r="E99" i="3"/>
  <c r="D14" i="3"/>
  <c r="D21" i="3"/>
  <c r="G21" i="3" s="1"/>
  <c r="F21" i="3"/>
  <c r="D28" i="3"/>
  <c r="G28" i="3" s="1"/>
  <c r="D35" i="3"/>
  <c r="F35" i="3"/>
  <c r="D42" i="3"/>
  <c r="F42" i="3"/>
  <c r="D56" i="3"/>
  <c r="D64" i="3"/>
  <c r="G64" i="3" s="1"/>
  <c r="D71" i="3"/>
  <c r="F71" i="3"/>
  <c r="D78" i="3"/>
  <c r="F78" i="3" s="1"/>
  <c r="G78" i="3"/>
  <c r="D85" i="3"/>
  <c r="F85" i="3" s="1"/>
  <c r="D92" i="3"/>
  <c r="C14" i="3"/>
  <c r="C21" i="3"/>
  <c r="C28" i="3"/>
  <c r="C35" i="3"/>
  <c r="G35" i="3"/>
  <c r="C42" i="3"/>
  <c r="C56" i="3"/>
  <c r="C64" i="3"/>
  <c r="C71" i="3"/>
  <c r="G71" i="3" s="1"/>
  <c r="C78" i="3"/>
  <c r="C85" i="3"/>
  <c r="C92" i="3"/>
  <c r="C101" i="3" s="1"/>
  <c r="F73" i="3"/>
  <c r="M72" i="1"/>
  <c r="E72" i="1"/>
  <c r="L14" i="1"/>
  <c r="L21" i="1"/>
  <c r="L28" i="1"/>
  <c r="M28" i="1"/>
  <c r="L42" i="1"/>
  <c r="M42" i="1"/>
  <c r="L56" i="1"/>
  <c r="M56" i="1" s="1"/>
  <c r="L63" i="1"/>
  <c r="L70" i="1"/>
  <c r="L77" i="1"/>
  <c r="M77" i="1" s="1"/>
  <c r="L84" i="1"/>
  <c r="L91" i="1"/>
  <c r="K14" i="1"/>
  <c r="I14" i="1" s="1"/>
  <c r="M14" i="1"/>
  <c r="K21" i="1"/>
  <c r="C14" i="1"/>
  <c r="C21" i="1"/>
  <c r="E21" i="1"/>
  <c r="C28" i="1"/>
  <c r="E28" i="1" s="1"/>
  <c r="C35" i="1"/>
  <c r="C42" i="1"/>
  <c r="I42" i="1" s="1"/>
  <c r="C56" i="1"/>
  <c r="C63" i="1"/>
  <c r="E63" i="1" s="1"/>
  <c r="C70" i="1"/>
  <c r="E70" i="1" s="1"/>
  <c r="C77" i="1"/>
  <c r="I77" i="1" s="1"/>
  <c r="C84" i="1"/>
  <c r="E84" i="1" s="1"/>
  <c r="C91" i="1"/>
  <c r="I91" i="1" s="1"/>
  <c r="E79" i="1"/>
  <c r="I79" i="1"/>
  <c r="M79" i="1"/>
  <c r="K77" i="1"/>
  <c r="F87" i="4"/>
  <c r="K31" i="2"/>
  <c r="K10" i="2"/>
  <c r="K35" i="1"/>
  <c r="I35" i="1" s="1"/>
  <c r="K42" i="1"/>
  <c r="J42" i="1" s="1"/>
  <c r="K56" i="1"/>
  <c r="K63" i="1"/>
  <c r="I63" i="1" s="1"/>
  <c r="K70" i="1"/>
  <c r="K91" i="1"/>
  <c r="M91" i="1"/>
  <c r="I72" i="1"/>
  <c r="G73" i="4"/>
  <c r="H73" i="4"/>
  <c r="G73" i="3"/>
  <c r="F59" i="4"/>
  <c r="F59" i="3"/>
  <c r="N31" i="2"/>
  <c r="N44" i="2" s="1"/>
  <c r="M31" i="2"/>
  <c r="M44" i="2" s="1"/>
  <c r="L31" i="2"/>
  <c r="O31" i="2" s="1"/>
  <c r="O44" i="2" s="1"/>
  <c r="J31" i="2"/>
  <c r="J44" i="2" s="1"/>
  <c r="I31" i="2"/>
  <c r="H31" i="2"/>
  <c r="F31" i="2"/>
  <c r="F44" i="2" s="1"/>
  <c r="E31" i="2"/>
  <c r="C31" i="2"/>
  <c r="C44" i="2" s="1"/>
  <c r="B31" i="2"/>
  <c r="M58" i="1"/>
  <c r="E58" i="1"/>
  <c r="I10" i="2"/>
  <c r="G59" i="4"/>
  <c r="H59" i="4"/>
  <c r="G66" i="4"/>
  <c r="H66" i="4" s="1"/>
  <c r="F66" i="4"/>
  <c r="G59" i="3"/>
  <c r="I58" i="1"/>
  <c r="F10" i="4"/>
  <c r="G10" i="4"/>
  <c r="H10" i="4"/>
  <c r="I9" i="1"/>
  <c r="I16" i="1"/>
  <c r="I30" i="1"/>
  <c r="I37" i="1"/>
  <c r="I51" i="1"/>
  <c r="I65" i="1"/>
  <c r="I86" i="1"/>
  <c r="E9" i="1"/>
  <c r="M9" i="1"/>
  <c r="E16" i="1"/>
  <c r="M16" i="1"/>
  <c r="E23" i="1"/>
  <c r="E30" i="1"/>
  <c r="M30" i="1"/>
  <c r="E37" i="1"/>
  <c r="M37" i="1"/>
  <c r="E51" i="1"/>
  <c r="M51" i="1"/>
  <c r="E65" i="1"/>
  <c r="M65" i="1"/>
  <c r="E86" i="1"/>
  <c r="M86" i="1"/>
  <c r="F17" i="4"/>
  <c r="G17" i="4"/>
  <c r="H17" i="4" s="1"/>
  <c r="F24" i="4"/>
  <c r="G24" i="4"/>
  <c r="H24" i="4"/>
  <c r="F31" i="4"/>
  <c r="G31" i="4"/>
  <c r="H31" i="4"/>
  <c r="F38" i="4"/>
  <c r="G38" i="4"/>
  <c r="H38" i="4"/>
  <c r="F52" i="4"/>
  <c r="G52" i="4"/>
  <c r="H52" i="4" s="1"/>
  <c r="F80" i="4"/>
  <c r="G80" i="4"/>
  <c r="H80" i="4"/>
  <c r="G87" i="4"/>
  <c r="H87" i="4" s="1"/>
  <c r="F9" i="3"/>
  <c r="F16" i="3"/>
  <c r="G16" i="3"/>
  <c r="F23" i="3"/>
  <c r="G23" i="3"/>
  <c r="F30" i="3"/>
  <c r="G30" i="3"/>
  <c r="F37" i="3"/>
  <c r="G37" i="3"/>
  <c r="F51" i="3"/>
  <c r="G51" i="3"/>
  <c r="F66" i="3"/>
  <c r="G66" i="3"/>
  <c r="F80" i="3"/>
  <c r="G80" i="3"/>
  <c r="F87" i="3"/>
  <c r="G87" i="3"/>
  <c r="G9" i="3"/>
  <c r="C10" i="2"/>
  <c r="D10" i="2"/>
  <c r="O10" i="2" s="1"/>
  <c r="O23" i="2" s="1"/>
  <c r="E10" i="2"/>
  <c r="E23" i="2" s="1"/>
  <c r="F10" i="2"/>
  <c r="F23" i="2" s="1"/>
  <c r="H10" i="2"/>
  <c r="H23" i="2" s="1"/>
  <c r="J10" i="2"/>
  <c r="L10" i="2"/>
  <c r="M10" i="2"/>
  <c r="M23" i="2" s="1"/>
  <c r="N10" i="2"/>
  <c r="I23" i="1"/>
  <c r="M23" i="1"/>
  <c r="K28" i="1"/>
  <c r="J28" i="1" s="1"/>
  <c r="D31" i="2"/>
  <c r="L98" i="1"/>
  <c r="L100" i="1" s="1"/>
  <c r="K98" i="1"/>
  <c r="K100" i="1" s="1"/>
  <c r="M98" i="1"/>
  <c r="K49" i="1"/>
  <c r="I49" i="1" s="1"/>
  <c r="K84" i="1"/>
  <c r="I84" i="1"/>
  <c r="H86" i="1"/>
  <c r="H79" i="1"/>
  <c r="J9" i="1"/>
  <c r="G70" i="1"/>
  <c r="H72" i="1"/>
  <c r="G77" i="1"/>
  <c r="H23" i="1"/>
  <c r="H9" i="1"/>
  <c r="H65" i="1"/>
  <c r="F78" i="4"/>
  <c r="G56" i="3"/>
  <c r="G103" i="4"/>
  <c r="H103" i="4"/>
  <c r="F49" i="3"/>
  <c r="F84" i="1"/>
  <c r="J60" i="1"/>
  <c r="E56" i="1"/>
  <c r="H32" i="1"/>
  <c r="F28" i="1"/>
  <c r="H28" i="1" s="1"/>
  <c r="F103" i="4"/>
  <c r="G99" i="4"/>
  <c r="H99" i="4" s="1"/>
  <c r="G71" i="4"/>
  <c r="H71" i="4"/>
  <c r="F57" i="4"/>
  <c r="F43" i="4"/>
  <c r="F22" i="4"/>
  <c r="G22" i="4"/>
  <c r="H22" i="4" s="1"/>
  <c r="F15" i="4"/>
  <c r="G103" i="5"/>
  <c r="H103" i="5"/>
  <c r="C101" i="5"/>
  <c r="D101" i="5"/>
  <c r="G101" i="5" s="1"/>
  <c r="H101" i="5" s="1"/>
  <c r="E101" i="5"/>
  <c r="G103" i="3"/>
  <c r="F92" i="3"/>
  <c r="G92" i="3"/>
  <c r="G42" i="3"/>
  <c r="F14" i="3"/>
  <c r="G14" i="3"/>
  <c r="D101" i="3"/>
  <c r="H87" i="1"/>
  <c r="H88" i="1"/>
  <c r="I102" i="1"/>
  <c r="M84" i="1"/>
  <c r="M63" i="1"/>
  <c r="I56" i="1"/>
  <c r="D100" i="1"/>
  <c r="M21" i="1"/>
  <c r="I21" i="1"/>
  <c r="E14" i="1"/>
  <c r="B44" i="2"/>
  <c r="L23" i="2"/>
  <c r="I23" i="2"/>
  <c r="J23" i="2"/>
  <c r="C23" i="2"/>
  <c r="K23" i="2"/>
  <c r="H44" i="2"/>
  <c r="K44" i="2"/>
  <c r="O12" i="2"/>
  <c r="H49" i="1" l="1"/>
  <c r="G101" i="4"/>
  <c r="H101" i="4" s="1"/>
  <c r="J21" i="1"/>
  <c r="H21" i="1"/>
  <c r="F101" i="3"/>
  <c r="M100" i="1"/>
  <c r="I100" i="1"/>
  <c r="H84" i="1"/>
  <c r="J70" i="1"/>
  <c r="L44" i="2"/>
  <c r="F102" i="1"/>
  <c r="H39" i="1"/>
  <c r="F63" i="1"/>
  <c r="F14" i="1"/>
  <c r="J84" i="1"/>
  <c r="E98" i="1"/>
  <c r="H58" i="1"/>
  <c r="J44" i="1"/>
  <c r="F50" i="4"/>
  <c r="M35" i="1"/>
  <c r="H66" i="1"/>
  <c r="E91" i="1"/>
  <c r="H16" i="1"/>
  <c r="M49" i="1"/>
  <c r="G85" i="3"/>
  <c r="F28" i="3"/>
  <c r="J51" i="1"/>
  <c r="J95" i="1"/>
  <c r="H68" i="1"/>
  <c r="F98" i="1"/>
  <c r="I70" i="1"/>
  <c r="G29" i="4"/>
  <c r="H29" i="4" s="1"/>
  <c r="I98" i="1"/>
  <c r="E42" i="1"/>
  <c r="J93" i="1"/>
  <c r="G63" i="1"/>
  <c r="G100" i="1" s="1"/>
  <c r="D23" i="2"/>
  <c r="M70" i="1"/>
  <c r="F91" i="1"/>
  <c r="H30" i="1"/>
  <c r="H37" i="1"/>
  <c r="H38" i="1"/>
  <c r="J75" i="1"/>
  <c r="J16" i="1"/>
  <c r="J49" i="1"/>
  <c r="H73" i="1"/>
  <c r="J54" i="1"/>
  <c r="G101" i="3"/>
  <c r="H77" i="1"/>
  <c r="I28" i="1"/>
  <c r="G92" i="4"/>
  <c r="H92" i="4" s="1"/>
  <c r="F35" i="1"/>
  <c r="H44" i="1"/>
  <c r="E77" i="1"/>
  <c r="H52" i="1"/>
  <c r="E101" i="4"/>
  <c r="F101" i="4" s="1"/>
  <c r="F56" i="1"/>
  <c r="J37" i="1"/>
  <c r="F100" i="1" l="1"/>
  <c r="H98" i="1"/>
  <c r="J35" i="1"/>
  <c r="H35" i="1"/>
  <c r="H91" i="1"/>
  <c r="J91" i="1"/>
  <c r="H14" i="1"/>
  <c r="J14" i="1"/>
  <c r="J98" i="1"/>
  <c r="J102" i="1"/>
  <c r="H102" i="1"/>
  <c r="J63" i="1"/>
  <c r="H63" i="1"/>
  <c r="H56" i="1"/>
  <c r="J56" i="1"/>
  <c r="H100" i="1" l="1"/>
  <c r="J100" i="1"/>
</calcChain>
</file>

<file path=xl/sharedStrings.xml><?xml version="1.0" encoding="utf-8"?>
<sst xmlns="http://schemas.openxmlformats.org/spreadsheetml/2006/main" count="241" uniqueCount="78">
  <si>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</si>
  <si>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</si>
  <si>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</si>
  <si>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</si>
  <si>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</si>
  <si>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</si>
  <si>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</si>
  <si>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</si>
  <si>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</si>
  <si>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</si>
  <si>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</si>
  <si>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</si>
  <si>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</si>
  <si>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</si>
  <si>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</si>
  <si>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</si>
  <si>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</si>
  <si>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</si>
  <si>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</si>
  <si>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</si>
  <si>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</si>
  <si>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</si>
  <si>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</si>
  <si>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</si>
  <si>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</si>
  <si>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</si>
  <si>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</si>
  <si>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</si>
  <si>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</si>
  <si>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</si>
  <si>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</si>
  <si>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</si>
  <si>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</si>
  <si>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</si>
  <si>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</si>
  <si>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</si>
  <si>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</si>
  <si>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</si>
  <si>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</si>
  <si>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</si>
  <si>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</si>
  <si>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</si>
  <si>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</si>
  <si>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</si>
  <si>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</si>
  <si>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</si>
  <si>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</si>
  <si>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</si>
  <si>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</si>
  <si>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</si>
  <si>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</si>
  <si>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</si>
  <si>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</si>
  <si>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</si>
  <si>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</si>
  <si>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</si>
  <si>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</si>
  <si>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</si>
  <si>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</si>
  <si>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</si>
  <si>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 xml:space="preserve">LUMIERE PLACE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</si>
  <si>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</si>
  <si>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</si>
  <si>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</si>
  <si>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</si>
  <si>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</si>
  <si>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</si>
  <si>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</si>
  <si>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</si>
  <si>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 xml:space="preserve">FISCAL 2022 YTD ADMISSIONS, PATRONS AND AGR SUMMARY </t>
  </si>
  <si>
    <t>BALLY'S KANSAS CITY</t>
  </si>
  <si>
    <t>BALLY'S KC</t>
  </si>
  <si>
    <t>MONTH ENDED:  OCTOBER 31, 2021</t>
  </si>
  <si>
    <t>(as reported on the tax remittal database dtd 11/9/21)</t>
  </si>
  <si>
    <t>FOR THE MONTH ENDED:   OCTOBER 31, 2021</t>
  </si>
  <si>
    <t>THRU MONTH ENDED:   OCTOBER 31, 2021</t>
  </si>
  <si>
    <t>(as reported on the tax remittal database as of 11/9/21)</t>
  </si>
  <si>
    <t>THRU MONTH ENDED:     OCTOBER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</si>
</sst>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1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74"/>
  <sheetViews>
    <sheetView tabSelected="1" showOutlineSymbols="0" view="pageBreakPreview" zoomScale="60" zoomScaleNormal="100" workbookViewId="0">
      <selection activeCell="S13" sqref="S13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69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DATE(2021,7,1)</f>
        <v>44378</v>
      </c>
      <c r="C9" s="21">
        <v>232803</v>
      </c>
      <c r="D9" s="22">
        <v>188333</v>
      </c>
      <c r="E9" s="23">
        <f>(+C9-D9)/D9</f>
        <v>0.23612431172444553</v>
      </c>
      <c r="F9" s="21">
        <f>+C9-107437</f>
        <v>125366</v>
      </c>
      <c r="G9" s="21">
        <f>+D9-87391</f>
        <v>100942</v>
      </c>
      <c r="H9" s="23">
        <f>(+F9-G9)/G9</f>
        <v>0.24196072992411483</v>
      </c>
      <c r="I9" s="24">
        <f>K9/C9</f>
        <v>68.467668414925924</v>
      </c>
      <c r="J9" s="24">
        <f>K9/F9</f>
        <v>127.14355255810985</v>
      </c>
      <c r="K9" s="21">
        <v>15939478.609999999</v>
      </c>
      <c r="L9" s="21">
        <v>13615214.890000001</v>
      </c>
      <c r="M9" s="25">
        <f>(+K9-L9)/L9</f>
        <v>0.17071076283247694</v>
      </c>
      <c r="N9" s="10"/>
      <c r="R9" s="2"/>
    </row>
    <row r="10" spans="1:18" ht="15.75" x14ac:dyDescent="0.25">
      <c r="A10" s="19"/>
      <c r="B10" s="20">
        <f>DATE(2021,8,1)</f>
        <v>44409</v>
      </c>
      <c r="C10" s="21">
        <v>225454</v>
      </c>
      <c r="D10" s="22">
        <v>193126</v>
      </c>
      <c r="E10" s="23">
        <f>(+C10-D10)/D10</f>
        <v>0.1673933079958162</v>
      </c>
      <c r="F10" s="21">
        <f>+C10-103513</f>
        <v>121941</v>
      </c>
      <c r="G10" s="21">
        <f>+D10-88951</f>
        <v>104175</v>
      </c>
      <c r="H10" s="23">
        <f>(+F10-G10)/G10</f>
        <v>0.17053995680345571</v>
      </c>
      <c r="I10" s="24">
        <f>K10/C10</f>
        <v>66.872165142335021</v>
      </c>
      <c r="J10" s="24">
        <f>K10/F10</f>
        <v>123.63845728672062</v>
      </c>
      <c r="K10" s="21">
        <v>15076597.119999999</v>
      </c>
      <c r="L10" s="21">
        <v>12620487.539999999</v>
      </c>
      <c r="M10" s="25">
        <f>(+K10-L10)/L10</f>
        <v>0.19461289211018865</v>
      </c>
      <c r="N10" s="10"/>
      <c r="R10" s="2"/>
    </row>
    <row r="11" spans="1:18" ht="15.75" x14ac:dyDescent="0.25">
      <c r="A11" s="19"/>
      <c r="B11" s="20">
        <f>DATE(2021,9,1)</f>
        <v>44440</v>
      </c>
      <c r="C11" s="21">
        <v>206050</v>
      </c>
      <c r="D11" s="22">
        <v>196754</v>
      </c>
      <c r="E11" s="23">
        <f>(+C11-D11)/D11</f>
        <v>4.7246815820771115E-2</v>
      </c>
      <c r="F11" s="21">
        <f>+C11-93968</f>
        <v>112082</v>
      </c>
      <c r="G11" s="21">
        <f>+D11-92272</f>
        <v>104482</v>
      </c>
      <c r="H11" s="23">
        <f>(+F11-G11)/G11</f>
        <v>7.2739802071170159E-2</v>
      </c>
      <c r="I11" s="24">
        <f>K11/C11</f>
        <v>67.344978015044902</v>
      </c>
      <c r="J11" s="24">
        <f>K11/F11</f>
        <v>123.8060769793544</v>
      </c>
      <c r="K11" s="21">
        <v>13876432.720000001</v>
      </c>
      <c r="L11" s="21">
        <v>12429246.59</v>
      </c>
      <c r="M11" s="25">
        <f>(+K11-L11)/L11</f>
        <v>0.11643393825369433</v>
      </c>
      <c r="N11" s="10"/>
      <c r="R11" s="2"/>
    </row>
    <row r="12" spans="1:18" ht="15.75" x14ac:dyDescent="0.25">
      <c r="A12" s="19"/>
      <c r="B12" s="20">
        <f>DATE(2021,10,1)</f>
        <v>44470</v>
      </c>
      <c r="C12" s="21">
        <v>219538</v>
      </c>
      <c r="D12" s="22">
        <v>203827</v>
      </c>
      <c r="E12" s="23">
        <f>(+C12-D12)/D12</f>
        <v>7.7080072806841093E-2</v>
      </c>
      <c r="F12" s="21">
        <f>+C12-100658</f>
        <v>118880</v>
      </c>
      <c r="G12" s="21">
        <f>+D12-94349</f>
        <v>109478</v>
      </c>
      <c r="H12" s="23">
        <f>(+F12-G12)/G12</f>
        <v>8.5880268181735137E-2</v>
      </c>
      <c r="I12" s="24">
        <f>K12/C12</f>
        <v>69.454130537765678</v>
      </c>
      <c r="J12" s="24">
        <f>K12/F12</f>
        <v>128.26228894683715</v>
      </c>
      <c r="K12" s="21">
        <v>15247820.91</v>
      </c>
      <c r="L12" s="21">
        <v>12927551.640000001</v>
      </c>
      <c r="M12" s="25">
        <f>(+K12-L12)/L12</f>
        <v>0.17948249866747384</v>
      </c>
      <c r="N12" s="10"/>
      <c r="R12" s="2"/>
    </row>
    <row r="13" spans="1:18" ht="15.75" customHeight="1" thickBot="1" x14ac:dyDescent="0.3">
      <c r="A13" s="19"/>
      <c r="B13" s="20"/>
      <c r="C13" s="21"/>
      <c r="D13" s="21"/>
      <c r="E13" s="23"/>
      <c r="F13" s="21"/>
      <c r="G13" s="21"/>
      <c r="H13" s="23"/>
      <c r="I13" s="24"/>
      <c r="J13" s="24"/>
      <c r="K13" s="21"/>
      <c r="L13" s="21"/>
      <c r="M13" s="25"/>
      <c r="N13" s="10"/>
      <c r="R13" s="2"/>
    </row>
    <row r="14" spans="1:18" ht="17.25" thickTop="1" thickBot="1" x14ac:dyDescent="0.3">
      <c r="A14" s="26" t="s">
        <v>14</v>
      </c>
      <c r="B14" s="27"/>
      <c r="C14" s="28">
        <f>SUM(C9:C13)</f>
        <v>883845</v>
      </c>
      <c r="D14" s="28">
        <f>SUM(D9:D13)</f>
        <v>782040</v>
      </c>
      <c r="E14" s="279">
        <f>(+C14-D14)/D14</f>
        <v>0.13017876323461716</v>
      </c>
      <c r="F14" s="28">
        <f>SUM(F9:F13)</f>
        <v>478269</v>
      </c>
      <c r="G14" s="28">
        <f>SUM(G9:G13)</f>
        <v>419077</v>
      </c>
      <c r="H14" s="30">
        <f>(+F14-G14)/G14</f>
        <v>0.1412437332518845</v>
      </c>
      <c r="I14" s="31">
        <f>K14/C14</f>
        <v>68.043977575253578</v>
      </c>
      <c r="J14" s="31">
        <f>K14/F14</f>
        <v>125.74582371008783</v>
      </c>
      <c r="K14" s="28">
        <f>SUM(K9:K13)</f>
        <v>60140329.359999999</v>
      </c>
      <c r="L14" s="28">
        <f>SUM(L9:L13)</f>
        <v>51592500.659999996</v>
      </c>
      <c r="M14" s="32">
        <f>(+K14-L14)/L14</f>
        <v>0.16567967419007451</v>
      </c>
      <c r="N14" s="10"/>
      <c r="R14" s="2"/>
    </row>
    <row r="15" spans="1:18" ht="15.75" customHeight="1" thickTop="1" x14ac:dyDescent="0.25">
      <c r="A15" s="15"/>
      <c r="B15" s="16"/>
      <c r="C15" s="16"/>
      <c r="D15" s="16"/>
      <c r="E15" s="17"/>
      <c r="F15" s="16"/>
      <c r="G15" s="16"/>
      <c r="H15" s="17"/>
      <c r="I15" s="16"/>
      <c r="J15" s="16"/>
      <c r="K15" s="195"/>
      <c r="L15" s="195"/>
      <c r="M15" s="18"/>
      <c r="N15" s="10"/>
      <c r="R15" s="2"/>
    </row>
    <row r="16" spans="1:18" ht="15.75" x14ac:dyDescent="0.25">
      <c r="A16" s="19" t="s">
        <v>15</v>
      </c>
      <c r="B16" s="20">
        <f>DATE(2021,7,1)</f>
        <v>44378</v>
      </c>
      <c r="C16" s="21">
        <v>116107</v>
      </c>
      <c r="D16" s="21">
        <v>79471</v>
      </c>
      <c r="E16" s="23">
        <f>(+C16-D16)/D16</f>
        <v>0.46099835159995473</v>
      </c>
      <c r="F16" s="21">
        <f>+C16-56210</f>
        <v>59897</v>
      </c>
      <c r="G16" s="21">
        <f>+D16-38596</f>
        <v>40875</v>
      </c>
      <c r="H16" s="23">
        <f>(+F16-G16)/G16</f>
        <v>0.46537003058103976</v>
      </c>
      <c r="I16" s="24">
        <f>K16/C16</f>
        <v>69.409558855193922</v>
      </c>
      <c r="J16" s="24">
        <f>K16/F16</f>
        <v>134.54656577124064</v>
      </c>
      <c r="K16" s="21">
        <v>8058935.6500000004</v>
      </c>
      <c r="L16" s="21">
        <v>5613318.0300000003</v>
      </c>
      <c r="M16" s="25">
        <f>(+K16-L16)/L16</f>
        <v>0.43568128634963516</v>
      </c>
      <c r="N16" s="10"/>
      <c r="R16" s="2"/>
    </row>
    <row r="17" spans="1:18" ht="15.75" x14ac:dyDescent="0.25">
      <c r="A17" s="19"/>
      <c r="B17" s="20">
        <f>DATE(2021,8,1)</f>
        <v>44409</v>
      </c>
      <c r="C17" s="21">
        <v>103353</v>
      </c>
      <c r="D17" s="21">
        <v>88234</v>
      </c>
      <c r="E17" s="23">
        <f>(+C17-D17)/D17</f>
        <v>0.17135117981730399</v>
      </c>
      <c r="F17" s="21">
        <f>+C17-50446</f>
        <v>52907</v>
      </c>
      <c r="G17" s="21">
        <f>+D17-41802</f>
        <v>46432</v>
      </c>
      <c r="H17" s="23">
        <f>(+F17-G17)/G17</f>
        <v>0.13945124052377669</v>
      </c>
      <c r="I17" s="24">
        <f>K17/C17</f>
        <v>69.568823449730544</v>
      </c>
      <c r="J17" s="24">
        <f>K17/F17</f>
        <v>135.90161245203848</v>
      </c>
      <c r="K17" s="21">
        <v>7190146.6100000003</v>
      </c>
      <c r="L17" s="21">
        <v>5994552.2300000004</v>
      </c>
      <c r="M17" s="25">
        <f>(+K17-L17)/L17</f>
        <v>0.19944682006715952</v>
      </c>
      <c r="N17" s="10"/>
      <c r="R17" s="2"/>
    </row>
    <row r="18" spans="1:18" ht="15.75" x14ac:dyDescent="0.25">
      <c r="A18" s="19"/>
      <c r="B18" s="20">
        <f>DATE(2021,9,1)</f>
        <v>44440</v>
      </c>
      <c r="C18" s="21">
        <v>103596</v>
      </c>
      <c r="D18" s="21">
        <v>90948</v>
      </c>
      <c r="E18" s="23">
        <f>(+C18-D18)/D18</f>
        <v>0.13906847869112021</v>
      </c>
      <c r="F18" s="21">
        <f>+C18-49808</f>
        <v>53788</v>
      </c>
      <c r="G18" s="21">
        <f>+D18-42310</f>
        <v>48638</v>
      </c>
      <c r="H18" s="23">
        <f>(+F18-G18)/G18</f>
        <v>0.10588428800526338</v>
      </c>
      <c r="I18" s="24">
        <f>K18/C18</f>
        <v>73.648616838487982</v>
      </c>
      <c r="J18" s="24">
        <f>K18/F18</f>
        <v>141.84766323343499</v>
      </c>
      <c r="K18" s="21">
        <v>7629702.1100000003</v>
      </c>
      <c r="L18" s="21">
        <v>5908744.6600000001</v>
      </c>
      <c r="M18" s="25">
        <f>(+K18-L18)/L18</f>
        <v>0.29125601951464258</v>
      </c>
      <c r="N18" s="10"/>
      <c r="R18" s="2"/>
    </row>
    <row r="19" spans="1:18" ht="15.75" x14ac:dyDescent="0.25">
      <c r="A19" s="19"/>
      <c r="B19" s="20">
        <f>DATE(2021,10,1)</f>
        <v>44470</v>
      </c>
      <c r="C19" s="21">
        <v>110079</v>
      </c>
      <c r="D19" s="21">
        <v>87099</v>
      </c>
      <c r="E19" s="23">
        <f>(+C19-D19)/D19</f>
        <v>0.26383770192539524</v>
      </c>
      <c r="F19" s="21">
        <f>+C19-53226</f>
        <v>56853</v>
      </c>
      <c r="G19" s="21">
        <f>+D19-41806</f>
        <v>45293</v>
      </c>
      <c r="H19" s="23">
        <f>(+F19-G19)/G19</f>
        <v>0.25522707703177089</v>
      </c>
      <c r="I19" s="24">
        <f>K19/C19</f>
        <v>71.212890378728005</v>
      </c>
      <c r="J19" s="24">
        <f>K19/F19</f>
        <v>137.88267567234797</v>
      </c>
      <c r="K19" s="21">
        <v>7839043.7599999998</v>
      </c>
      <c r="L19" s="21">
        <v>5716409.8899999997</v>
      </c>
      <c r="M19" s="25">
        <f>(+K19-L19)/L19</f>
        <v>0.37132289511170802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7.25" customHeight="1" thickTop="1" thickBot="1" x14ac:dyDescent="0.3">
      <c r="A21" s="26" t="s">
        <v>14</v>
      </c>
      <c r="B21" s="27"/>
      <c r="C21" s="28">
        <f>SUM(C16:C20)</f>
        <v>433135</v>
      </c>
      <c r="D21" s="28">
        <f>SUM(D16:D20)</f>
        <v>345752</v>
      </c>
      <c r="E21" s="279">
        <f>(+C21-D21)/D21</f>
        <v>0.2527331729100627</v>
      </c>
      <c r="F21" s="28">
        <f>SUM(F16:F20)</f>
        <v>223445</v>
      </c>
      <c r="G21" s="28">
        <f>SUM(G16:G20)</f>
        <v>181238</v>
      </c>
      <c r="H21" s="30">
        <f>(+F21-G21)/G21</f>
        <v>0.23288162526622452</v>
      </c>
      <c r="I21" s="31">
        <f>K21/C21</f>
        <v>70.919755110993108</v>
      </c>
      <c r="J21" s="31">
        <f>K21/F21</f>
        <v>137.47377712636219</v>
      </c>
      <c r="K21" s="28">
        <f>SUM(K16:K20)</f>
        <v>30717828.130000003</v>
      </c>
      <c r="L21" s="28">
        <f>SUM(L16:L20)</f>
        <v>23233024.810000002</v>
      </c>
      <c r="M21" s="32">
        <f>(+K21-L21)/L21</f>
        <v>0.32216224022531825</v>
      </c>
      <c r="N21" s="10"/>
      <c r="R21" s="2"/>
    </row>
    <row r="22" spans="1:18" ht="15.75" customHeight="1" thickTop="1" x14ac:dyDescent="0.25">
      <c r="A22" s="33"/>
      <c r="B22" s="34"/>
      <c r="C22" s="35"/>
      <c r="D22" s="35"/>
      <c r="E22" s="29"/>
      <c r="F22" s="35"/>
      <c r="G22" s="35"/>
      <c r="H22" s="29"/>
      <c r="I22" s="36"/>
      <c r="J22" s="36"/>
      <c r="K22" s="35"/>
      <c r="L22" s="35"/>
      <c r="M22" s="37"/>
      <c r="N22" s="10"/>
      <c r="R22" s="2"/>
    </row>
    <row r="23" spans="1:18" ht="15.75" customHeight="1" x14ac:dyDescent="0.25">
      <c r="A23" s="19" t="s">
        <v>64</v>
      </c>
      <c r="B23" s="20">
        <f>DATE(2021,7,1)</f>
        <v>44378</v>
      </c>
      <c r="C23" s="21">
        <v>66837</v>
      </c>
      <c r="D23" s="21">
        <v>53105</v>
      </c>
      <c r="E23" s="23">
        <f>(+C23-D23)/D23</f>
        <v>0.25858205442048771</v>
      </c>
      <c r="F23" s="21">
        <f>+C23-37212</f>
        <v>29625</v>
      </c>
      <c r="G23" s="21">
        <f>+D23-28880</f>
        <v>24225</v>
      </c>
      <c r="H23" s="23">
        <f>(+F23-G23)/G23</f>
        <v>0.22291021671826625</v>
      </c>
      <c r="I23" s="24">
        <f>K23/C23</f>
        <v>68.824348040755865</v>
      </c>
      <c r="J23" s="24">
        <f>K23/F23</f>
        <v>155.27469873417724</v>
      </c>
      <c r="K23" s="21">
        <v>4600012.95</v>
      </c>
      <c r="L23" s="21">
        <v>3467756.6</v>
      </c>
      <c r="M23" s="25">
        <f>(+K23-L23)/L23</f>
        <v>0.32650975273178057</v>
      </c>
      <c r="N23" s="10"/>
      <c r="R23" s="2"/>
    </row>
    <row r="24" spans="1:18" ht="15.75" customHeight="1" x14ac:dyDescent="0.25">
      <c r="A24" s="19"/>
      <c r="B24" s="20">
        <f>DATE(2021,8,1)</f>
        <v>44409</v>
      </c>
      <c r="C24" s="21">
        <v>56112</v>
      </c>
      <c r="D24" s="21">
        <v>52610</v>
      </c>
      <c r="E24" s="23">
        <f>(+C24-D24)/D24</f>
        <v>6.6565291769625543E-2</v>
      </c>
      <c r="F24" s="21">
        <f>+C24-31048</f>
        <v>25064</v>
      </c>
      <c r="G24" s="21">
        <f>+D24-28661</f>
        <v>23949</v>
      </c>
      <c r="H24" s="23">
        <f>(+F24-G24)/G24</f>
        <v>4.6557267526827845E-2</v>
      </c>
      <c r="I24" s="24">
        <f>K24/C24</f>
        <v>68.400653870829771</v>
      </c>
      <c r="J24" s="24">
        <f>K24/F24</f>
        <v>153.13188198212578</v>
      </c>
      <c r="K24" s="21">
        <v>3838097.49</v>
      </c>
      <c r="L24" s="21">
        <v>3296321</v>
      </c>
      <c r="M24" s="25">
        <f>(+K24-L24)/L24</f>
        <v>0.16435792812653871</v>
      </c>
      <c r="N24" s="10"/>
      <c r="R24" s="2"/>
    </row>
    <row r="25" spans="1:18" ht="15.75" customHeight="1" x14ac:dyDescent="0.25">
      <c r="A25" s="19"/>
      <c r="B25" s="20">
        <f>DATE(2021,9,1)</f>
        <v>44440</v>
      </c>
      <c r="C25" s="21">
        <v>58084</v>
      </c>
      <c r="D25" s="21">
        <v>50852</v>
      </c>
      <c r="E25" s="23">
        <f>(+C25-D25)/D25</f>
        <v>0.14221662864784079</v>
      </c>
      <c r="F25" s="21">
        <f>+C25-32339</f>
        <v>25745</v>
      </c>
      <c r="G25" s="21">
        <f>+D25-27986</f>
        <v>22866</v>
      </c>
      <c r="H25" s="23">
        <f>(+F25-G25)/G25</f>
        <v>0.12590746085891716</v>
      </c>
      <c r="I25" s="24">
        <f>K25/C25</f>
        <v>70.357005199366441</v>
      </c>
      <c r="J25" s="24">
        <f>K25/F25</f>
        <v>158.73436744999029</v>
      </c>
      <c r="K25" s="21">
        <v>4086616.29</v>
      </c>
      <c r="L25" s="21">
        <v>3100357.68</v>
      </c>
      <c r="M25" s="25">
        <f>(+K25-L25)/L25</f>
        <v>0.31811123483016962</v>
      </c>
      <c r="N25" s="10"/>
      <c r="R25" s="2"/>
    </row>
    <row r="26" spans="1:18" ht="15.75" customHeight="1" x14ac:dyDescent="0.25">
      <c r="A26" s="19"/>
      <c r="B26" s="20">
        <f>DATE(2021,10,1)</f>
        <v>44470</v>
      </c>
      <c r="C26" s="21">
        <v>57860</v>
      </c>
      <c r="D26" s="21">
        <v>51263</v>
      </c>
      <c r="E26" s="23">
        <f>(+C26-D26)/D26</f>
        <v>0.12868930807795095</v>
      </c>
      <c r="F26" s="21">
        <f>+C26-32287</f>
        <v>25573</v>
      </c>
      <c r="G26" s="21">
        <f>+D26-28269</f>
        <v>22994</v>
      </c>
      <c r="H26" s="23">
        <f>(+F26-G26)/G26</f>
        <v>0.11215969383317387</v>
      </c>
      <c r="I26" s="24">
        <f>K26/C26</f>
        <v>70.911935879709645</v>
      </c>
      <c r="J26" s="24">
        <f>K26/F26</f>
        <v>160.44127048058499</v>
      </c>
      <c r="K26" s="21">
        <v>4102964.61</v>
      </c>
      <c r="L26" s="21">
        <v>3378391.93</v>
      </c>
      <c r="M26" s="25">
        <f>(+K26-L26)/L26</f>
        <v>0.21447265297013648</v>
      </c>
      <c r="N26" s="10"/>
      <c r="R26" s="2"/>
    </row>
    <row r="27" spans="1:18" ht="15.75" customHeight="1" thickBot="1" x14ac:dyDescent="0.25">
      <c r="A27" s="38"/>
      <c r="B27" s="20"/>
      <c r="C27" s="21"/>
      <c r="D27" s="21"/>
      <c r="E27" s="23"/>
      <c r="F27" s="21"/>
      <c r="G27" s="21"/>
      <c r="H27" s="23"/>
      <c r="I27" s="24"/>
      <c r="J27" s="24"/>
      <c r="K27" s="21"/>
      <c r="L27" s="21"/>
      <c r="M27" s="25"/>
      <c r="N27" s="10"/>
      <c r="R27" s="2"/>
    </row>
    <row r="28" spans="1:18" ht="17.25" customHeight="1" thickTop="1" thickBot="1" x14ac:dyDescent="0.3">
      <c r="A28" s="39" t="s">
        <v>14</v>
      </c>
      <c r="B28" s="40"/>
      <c r="C28" s="41">
        <f>SUM(C23:C27)</f>
        <v>238893</v>
      </c>
      <c r="D28" s="41">
        <f>SUM(D23:D27)</f>
        <v>207830</v>
      </c>
      <c r="E28" s="280">
        <f>(+C28-D28)/D28</f>
        <v>0.14946350382524179</v>
      </c>
      <c r="F28" s="41">
        <f>SUM(F23:F27)</f>
        <v>106007</v>
      </c>
      <c r="G28" s="41">
        <f>SUM(G23:G27)</f>
        <v>94034</v>
      </c>
      <c r="H28" s="42">
        <f>(+F28-G28)/G28</f>
        <v>0.12732628623689304</v>
      </c>
      <c r="I28" s="43">
        <f>K28/C28</f>
        <v>69.603091509587969</v>
      </c>
      <c r="J28" s="43">
        <f>K28/F28</f>
        <v>156.85465431528107</v>
      </c>
      <c r="K28" s="41">
        <f>SUM(K23:K27)</f>
        <v>16627691.34</v>
      </c>
      <c r="L28" s="41">
        <f>SUM(L23:L27)</f>
        <v>13242827.209999999</v>
      </c>
      <c r="M28" s="44">
        <f>(+K28-L28)/L28</f>
        <v>0.25559981085036004</v>
      </c>
      <c r="N28" s="10"/>
      <c r="R28" s="2"/>
    </row>
    <row r="29" spans="1:18" ht="15.75" customHeight="1" thickTop="1" x14ac:dyDescent="0.2">
      <c r="A29" s="38"/>
      <c r="B29" s="45"/>
      <c r="C29" s="21"/>
      <c r="D29" s="21"/>
      <c r="E29" s="23"/>
      <c r="F29" s="21"/>
      <c r="G29" s="21"/>
      <c r="H29" s="23"/>
      <c r="I29" s="24"/>
      <c r="J29" s="24"/>
      <c r="K29" s="21"/>
      <c r="L29" s="21"/>
      <c r="M29" s="25"/>
      <c r="N29" s="10"/>
      <c r="R29" s="2"/>
    </row>
    <row r="30" spans="1:18" ht="15.75" customHeight="1" x14ac:dyDescent="0.25">
      <c r="A30" s="177" t="s">
        <v>59</v>
      </c>
      <c r="B30" s="20">
        <f>DATE(2021,7,1)</f>
        <v>44378</v>
      </c>
      <c r="C30" s="21">
        <v>337225</v>
      </c>
      <c r="D30" s="21">
        <v>226236</v>
      </c>
      <c r="E30" s="23">
        <f>(+C30-D30)/D30</f>
        <v>0.49058947293976202</v>
      </c>
      <c r="F30" s="21">
        <f>+C30-176904</f>
        <v>160321</v>
      </c>
      <c r="G30" s="21">
        <f>+D30-121061</f>
        <v>105175</v>
      </c>
      <c r="H30" s="23">
        <f>(+F30-G30)/G30</f>
        <v>0.52432612312811977</v>
      </c>
      <c r="I30" s="24">
        <f>K30/C30</f>
        <v>57.210146252502042</v>
      </c>
      <c r="J30" s="24">
        <f>K30/F30</f>
        <v>120.33789441183626</v>
      </c>
      <c r="K30" s="21">
        <v>19292691.57</v>
      </c>
      <c r="L30" s="21">
        <v>14578930.949999999</v>
      </c>
      <c r="M30" s="25">
        <f>(+K30-L30)/L30</f>
        <v>0.32332690484414439</v>
      </c>
      <c r="N30" s="10"/>
      <c r="R30" s="2"/>
    </row>
    <row r="31" spans="1:18" ht="15.75" customHeight="1" x14ac:dyDescent="0.25">
      <c r="A31" s="177"/>
      <c r="B31" s="20">
        <f>DATE(2021,8,1)</f>
        <v>44409</v>
      </c>
      <c r="C31" s="21">
        <v>302300</v>
      </c>
      <c r="D31" s="21">
        <v>248866</v>
      </c>
      <c r="E31" s="23">
        <f>(+C31-D31)/D31</f>
        <v>0.21470992421624488</v>
      </c>
      <c r="F31" s="21">
        <f>+C31-157033</f>
        <v>145267</v>
      </c>
      <c r="G31" s="21">
        <f>+D31-132898</f>
        <v>115968</v>
      </c>
      <c r="H31" s="23">
        <f>(+F31-G31)/G31</f>
        <v>0.25264728200883002</v>
      </c>
      <c r="I31" s="24">
        <f>K31/C31</f>
        <v>58.274154581541517</v>
      </c>
      <c r="J31" s="24">
        <f>K31/F31</f>
        <v>121.26826416185369</v>
      </c>
      <c r="K31" s="21">
        <v>17616276.93</v>
      </c>
      <c r="L31" s="21">
        <v>15099078.17</v>
      </c>
      <c r="M31" s="25">
        <f>(+K31-L31)/L31</f>
        <v>0.16671208213236238</v>
      </c>
      <c r="N31" s="10"/>
      <c r="R31" s="2"/>
    </row>
    <row r="32" spans="1:18" ht="15.75" customHeight="1" x14ac:dyDescent="0.25">
      <c r="A32" s="177"/>
      <c r="B32" s="20">
        <f>DATE(2021,9,1)</f>
        <v>44440</v>
      </c>
      <c r="C32" s="21">
        <v>336142</v>
      </c>
      <c r="D32" s="21">
        <v>249571</v>
      </c>
      <c r="E32" s="23">
        <f>(+C32-D32)/D32</f>
        <v>0.34687924478404941</v>
      </c>
      <c r="F32" s="21">
        <f>+C32-171648</f>
        <v>164494</v>
      </c>
      <c r="G32" s="21">
        <f>+D32-130815</f>
        <v>118756</v>
      </c>
      <c r="H32" s="23">
        <f>(+F32-G32)/G32</f>
        <v>0.38514264542423121</v>
      </c>
      <c r="I32" s="24">
        <f>K32/C32</f>
        <v>57.682278977336964</v>
      </c>
      <c r="J32" s="24">
        <f>K32/F32</f>
        <v>117.87321495008938</v>
      </c>
      <c r="K32" s="21">
        <v>19389436.620000001</v>
      </c>
      <c r="L32" s="21">
        <v>14932529.18</v>
      </c>
      <c r="M32" s="25">
        <f>(+K32-L32)/L32</f>
        <v>0.29846969567415249</v>
      </c>
      <c r="N32" s="10"/>
      <c r="R32" s="2"/>
    </row>
    <row r="33" spans="1:18" ht="15.75" customHeight="1" x14ac:dyDescent="0.25">
      <c r="A33" s="177"/>
      <c r="B33" s="20">
        <f>DATE(2021,10,1)</f>
        <v>44470</v>
      </c>
      <c r="C33" s="21">
        <v>333807</v>
      </c>
      <c r="D33" s="21">
        <v>272084</v>
      </c>
      <c r="E33" s="23">
        <f>(+C33-D33)/D33</f>
        <v>0.22685273665485658</v>
      </c>
      <c r="F33" s="21">
        <f>+C33-175822</f>
        <v>157985</v>
      </c>
      <c r="G33" s="21">
        <f>+D33-143559</f>
        <v>128525</v>
      </c>
      <c r="H33" s="23">
        <f>(+F33-G33)/G33</f>
        <v>0.22921610581598911</v>
      </c>
      <c r="I33" s="24">
        <f>K33/C33</f>
        <v>57.441650354845763</v>
      </c>
      <c r="J33" s="24">
        <f>K33/F33</f>
        <v>121.36864246605691</v>
      </c>
      <c r="K33" s="21">
        <v>19174424.98</v>
      </c>
      <c r="L33" s="21">
        <v>15864682.439999999</v>
      </c>
      <c r="M33" s="25">
        <f>(+K33-L33)/L33</f>
        <v>0.20862330856715219</v>
      </c>
      <c r="N33" s="10"/>
      <c r="R33" s="2"/>
    </row>
    <row r="34" spans="1:18" ht="15.75" thickBot="1" x14ac:dyDescent="0.25">
      <c r="A34" s="38"/>
      <c r="B34" s="45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25" thickTop="1" thickBot="1" x14ac:dyDescent="0.3">
      <c r="A35" s="39" t="s">
        <v>14</v>
      </c>
      <c r="B35" s="40"/>
      <c r="C35" s="41">
        <f>SUM(C30:C34)</f>
        <v>1309474</v>
      </c>
      <c r="D35" s="41">
        <f>SUM(D30:D34)</f>
        <v>996757</v>
      </c>
      <c r="E35" s="280">
        <f>(+C35-D35)/D35</f>
        <v>0.31373444079148677</v>
      </c>
      <c r="F35" s="41">
        <f>SUM(F30:F34)</f>
        <v>628067</v>
      </c>
      <c r="G35" s="41">
        <f>SUM(G30:G34)</f>
        <v>468424</v>
      </c>
      <c r="H35" s="42">
        <f>(+F35-G35)/G35</f>
        <v>0.34080875446176967</v>
      </c>
      <c r="I35" s="43">
        <f>K35/C35</f>
        <v>57.635989794375462</v>
      </c>
      <c r="J35" s="43">
        <f>K35/F35</f>
        <v>120.16684541617377</v>
      </c>
      <c r="K35" s="41">
        <f>SUM(K30:K34)</f>
        <v>75472830.100000009</v>
      </c>
      <c r="L35" s="41">
        <f>SUM(L30:L34)</f>
        <v>60475220.739999995</v>
      </c>
      <c r="M35" s="44">
        <f>(+K35-L35)/L35</f>
        <v>0.24799594241216516</v>
      </c>
      <c r="N35" s="10"/>
      <c r="R35" s="2"/>
    </row>
    <row r="36" spans="1:18" ht="15.75" thickTop="1" x14ac:dyDescent="0.2">
      <c r="A36" s="38"/>
      <c r="B36" s="45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5.75" x14ac:dyDescent="0.25">
      <c r="A37" s="19" t="s">
        <v>62</v>
      </c>
      <c r="B37" s="20">
        <f>DATE(2021,7,1)</f>
        <v>44378</v>
      </c>
      <c r="C37" s="21">
        <v>256229</v>
      </c>
      <c r="D37" s="21">
        <v>260785</v>
      </c>
      <c r="E37" s="23">
        <f>(+C37-D37)/D37</f>
        <v>-1.7470329965297085E-2</v>
      </c>
      <c r="F37" s="21">
        <f>+C37-120621</f>
        <v>135608</v>
      </c>
      <c r="G37" s="21">
        <f>+D37-121006</f>
        <v>139779</v>
      </c>
      <c r="H37" s="23">
        <f>(+F37-G37)/G37</f>
        <v>-2.9839961653753425E-2</v>
      </c>
      <c r="I37" s="24">
        <f>K37/C37</f>
        <v>63.268857818591961</v>
      </c>
      <c r="J37" s="24">
        <f>K37/F37</f>
        <v>119.54542630228305</v>
      </c>
      <c r="K37" s="21">
        <v>16211316.17</v>
      </c>
      <c r="L37" s="21">
        <v>15798872.49</v>
      </c>
      <c r="M37" s="25">
        <f>(+K37-L37)/L37</f>
        <v>2.610589333264501E-2</v>
      </c>
      <c r="N37" s="10"/>
      <c r="R37" s="2"/>
    </row>
    <row r="38" spans="1:18" ht="15.75" x14ac:dyDescent="0.25">
      <c r="A38" s="19"/>
      <c r="B38" s="20">
        <f>DATE(2021,8,1)</f>
        <v>44409</v>
      </c>
      <c r="C38" s="21">
        <v>232853</v>
      </c>
      <c r="D38" s="21">
        <v>267898</v>
      </c>
      <c r="E38" s="23">
        <f>(+C38-D38)/D38</f>
        <v>-0.13081471306243422</v>
      </c>
      <c r="F38" s="21">
        <f>+C38-112411</f>
        <v>120442</v>
      </c>
      <c r="G38" s="21">
        <f>+D38-127416</f>
        <v>140482</v>
      </c>
      <c r="H38" s="23">
        <f>(+F38-G38)/G38</f>
        <v>-0.14265172762346778</v>
      </c>
      <c r="I38" s="24">
        <f>K38/C38</f>
        <v>57.49918424929033</v>
      </c>
      <c r="J38" s="24">
        <f>K38/F38</f>
        <v>111.16435753308647</v>
      </c>
      <c r="K38" s="21">
        <v>13388857.550000001</v>
      </c>
      <c r="L38" s="21">
        <v>15592345.880000001</v>
      </c>
      <c r="M38" s="25">
        <f>(+K38-L38)/L38</f>
        <v>-0.14131858970793945</v>
      </c>
      <c r="N38" s="10"/>
      <c r="R38" s="2"/>
    </row>
    <row r="39" spans="1:18" ht="15.75" x14ac:dyDescent="0.25">
      <c r="A39" s="19"/>
      <c r="B39" s="20">
        <f>DATE(2021,9,1)</f>
        <v>44440</v>
      </c>
      <c r="C39" s="21">
        <v>224419</v>
      </c>
      <c r="D39" s="21">
        <v>245708</v>
      </c>
      <c r="E39" s="23">
        <f>(+C39-D39)/D39</f>
        <v>-8.6643495531281034E-2</v>
      </c>
      <c r="F39" s="21">
        <f>+C39-105923</f>
        <v>118496</v>
      </c>
      <c r="G39" s="21">
        <f>+D39-116526</f>
        <v>129182</v>
      </c>
      <c r="H39" s="23">
        <f>(+F39-G39)/G39</f>
        <v>-8.2720502856435105E-2</v>
      </c>
      <c r="I39" s="24">
        <f>K39/C39</f>
        <v>64.566015711682169</v>
      </c>
      <c r="J39" s="24">
        <f>K39/F39</f>
        <v>122.28126417769376</v>
      </c>
      <c r="K39" s="21">
        <v>14489840.68</v>
      </c>
      <c r="L39" s="21">
        <v>14701173.800000001</v>
      </c>
      <c r="M39" s="25">
        <f>(+K39-L39)/L39</f>
        <v>-1.4375254852099024E-2</v>
      </c>
      <c r="N39" s="10"/>
      <c r="R39" s="2"/>
    </row>
    <row r="40" spans="1:18" ht="15.75" x14ac:dyDescent="0.25">
      <c r="A40" s="19"/>
      <c r="B40" s="20">
        <f>DATE(2021,10,1)</f>
        <v>44470</v>
      </c>
      <c r="C40" s="21">
        <v>231892</v>
      </c>
      <c r="D40" s="21">
        <v>252286</v>
      </c>
      <c r="E40" s="23">
        <f>(+C40-D40)/D40</f>
        <v>-8.0836828044362347E-2</v>
      </c>
      <c r="F40" s="21">
        <f>+C40-109202</f>
        <v>122690</v>
      </c>
      <c r="G40" s="21">
        <f>+D40-116651</f>
        <v>135635</v>
      </c>
      <c r="H40" s="23">
        <f>(+F40-G40)/G40</f>
        <v>-9.5439967559995578E-2</v>
      </c>
      <c r="I40" s="24">
        <f>K40/C40</f>
        <v>64.297012272954646</v>
      </c>
      <c r="J40" s="24">
        <f>K40/F40</f>
        <v>121.52549327573558</v>
      </c>
      <c r="K40" s="21">
        <v>14909962.77</v>
      </c>
      <c r="L40" s="21">
        <v>14952748.380000001</v>
      </c>
      <c r="M40" s="25">
        <f>(+K40-L40)/L40</f>
        <v>-2.8613876802226551E-3</v>
      </c>
      <c r="N40" s="10"/>
      <c r="R40" s="2"/>
    </row>
    <row r="41" spans="1:18" ht="15.75" thickBot="1" x14ac:dyDescent="0.25">
      <c r="A41" s="38"/>
      <c r="B41" s="20"/>
      <c r="C41" s="21"/>
      <c r="D41" s="21"/>
      <c r="E41" s="23"/>
      <c r="F41" s="21"/>
      <c r="G41" s="21"/>
      <c r="H41" s="23"/>
      <c r="I41" s="24"/>
      <c r="J41" s="24"/>
      <c r="K41" s="21"/>
      <c r="L41" s="21"/>
      <c r="M41" s="25"/>
      <c r="N41" s="10"/>
      <c r="R41" s="2"/>
    </row>
    <row r="42" spans="1:18" ht="17.25" thickTop="1" thickBot="1" x14ac:dyDescent="0.3">
      <c r="A42" s="39" t="s">
        <v>14</v>
      </c>
      <c r="B42" s="40"/>
      <c r="C42" s="41">
        <f>SUM(C37:C41)</f>
        <v>945393</v>
      </c>
      <c r="D42" s="41">
        <f>SUM(D37:D41)</f>
        <v>1026677</v>
      </c>
      <c r="E42" s="281">
        <f>(+C42-D42)/D42</f>
        <v>-7.9171930412388708E-2</v>
      </c>
      <c r="F42" s="47">
        <f>SUM(F37:F41)</f>
        <v>497236</v>
      </c>
      <c r="G42" s="48">
        <f>SUM(G37:G41)</f>
        <v>545078</v>
      </c>
      <c r="H42" s="49">
        <f>(+F42-G42)/G42</f>
        <v>-8.7770924528232652E-2</v>
      </c>
      <c r="I42" s="50">
        <f>K42/C42</f>
        <v>62.407884519982694</v>
      </c>
      <c r="J42" s="51">
        <f>K42/F42</f>
        <v>118.65588406712305</v>
      </c>
      <c r="K42" s="48">
        <f>SUM(K37:K41)</f>
        <v>58999977.170000002</v>
      </c>
      <c r="L42" s="47">
        <f>SUM(L37:L41)</f>
        <v>61045140.550000004</v>
      </c>
      <c r="M42" s="44">
        <f>(+K42-L42)/L42</f>
        <v>-3.3502476389990106E-2</v>
      </c>
      <c r="N42" s="10"/>
      <c r="R42" s="2"/>
    </row>
    <row r="43" spans="1:18" ht="15.75" customHeight="1" thickTop="1" x14ac:dyDescent="0.25">
      <c r="A43" s="273"/>
      <c r="B43" s="45"/>
      <c r="C43" s="21"/>
      <c r="D43" s="21"/>
      <c r="E43" s="23"/>
      <c r="F43" s="21"/>
      <c r="G43" s="21"/>
      <c r="H43" s="23"/>
      <c r="I43" s="24"/>
      <c r="J43" s="24"/>
      <c r="K43" s="21"/>
      <c r="L43" s="21"/>
      <c r="M43" s="25"/>
      <c r="N43" s="10"/>
      <c r="R43" s="2"/>
    </row>
    <row r="44" spans="1:18" ht="15.75" x14ac:dyDescent="0.25">
      <c r="A44" s="274" t="s">
        <v>63</v>
      </c>
      <c r="B44" s="20">
        <f>DATE(2021,7,1)</f>
        <v>44378</v>
      </c>
      <c r="C44" s="21">
        <v>104293</v>
      </c>
      <c r="D44" s="21">
        <v>75978</v>
      </c>
      <c r="E44" s="23">
        <f>(+C44-D44)/D44</f>
        <v>0.37267366869356922</v>
      </c>
      <c r="F44" s="21">
        <f>+C44-51816</f>
        <v>52477</v>
      </c>
      <c r="G44" s="21">
        <f>+D44-36462</f>
        <v>39516</v>
      </c>
      <c r="H44" s="23">
        <f>(+F44-G44)/G44</f>
        <v>0.3279937240611398</v>
      </c>
      <c r="I44" s="24">
        <f>K44/C44</f>
        <v>62.066719147018496</v>
      </c>
      <c r="J44" s="24">
        <f>K44/F44</f>
        <v>123.35164624502163</v>
      </c>
      <c r="K44" s="21">
        <v>6473124.3399999999</v>
      </c>
      <c r="L44" s="21">
        <v>5007129.57</v>
      </c>
      <c r="M44" s="25">
        <f>(+K44-L44)/L44</f>
        <v>0.29278147279899519</v>
      </c>
      <c r="N44" s="10"/>
      <c r="R44" s="2"/>
    </row>
    <row r="45" spans="1:18" ht="15.75" x14ac:dyDescent="0.25">
      <c r="A45" s="274"/>
      <c r="B45" s="20">
        <f>DATE(2021,8,1)</f>
        <v>44409</v>
      </c>
      <c r="C45" s="21">
        <v>93122</v>
      </c>
      <c r="D45" s="21">
        <v>75051</v>
      </c>
      <c r="E45" s="23">
        <f>(+C45-D45)/D45</f>
        <v>0.24078293427136213</v>
      </c>
      <c r="F45" s="21">
        <f>+C45-46288</f>
        <v>46834</v>
      </c>
      <c r="G45" s="21">
        <f>+D45-37094</f>
        <v>37957</v>
      </c>
      <c r="H45" s="23">
        <f>(+F45-G45)/G45</f>
        <v>0.23386990541929026</v>
      </c>
      <c r="I45" s="24">
        <f>K45/C45</f>
        <v>62.998181632696891</v>
      </c>
      <c r="J45" s="24">
        <f>K45/F45</f>
        <v>125.2619180509886</v>
      </c>
      <c r="K45" s="21">
        <v>5866516.6699999999</v>
      </c>
      <c r="L45" s="21">
        <v>4962926.8</v>
      </c>
      <c r="M45" s="25">
        <f>(+K45-L45)/L45</f>
        <v>0.18206794224730458</v>
      </c>
      <c r="N45" s="10"/>
      <c r="R45" s="2"/>
    </row>
    <row r="46" spans="1:18" ht="15.75" x14ac:dyDescent="0.25">
      <c r="A46" s="274"/>
      <c r="B46" s="20">
        <f>DATE(2021,9,1)</f>
        <v>44440</v>
      </c>
      <c r="C46" s="21">
        <v>92204</v>
      </c>
      <c r="D46" s="21">
        <v>76058</v>
      </c>
      <c r="E46" s="23">
        <f>(+C46-D46)/D46</f>
        <v>0.21228536117173735</v>
      </c>
      <c r="F46" s="21">
        <f>+C46-46055</f>
        <v>46149</v>
      </c>
      <c r="G46" s="21">
        <f>+D46-37383</f>
        <v>38675</v>
      </c>
      <c r="H46" s="23">
        <f>(+F46-G46)/G46</f>
        <v>0.19325145442792502</v>
      </c>
      <c r="I46" s="24">
        <f>K46/C46</f>
        <v>64.955611036397556</v>
      </c>
      <c r="J46" s="24">
        <f>K46/F46</f>
        <v>129.7789152527682</v>
      </c>
      <c r="K46" s="21">
        <v>5989167.1600000001</v>
      </c>
      <c r="L46" s="21">
        <v>4981639.0599999996</v>
      </c>
      <c r="M46" s="25">
        <f>(+K46-L46)/L46</f>
        <v>0.20224831383107081</v>
      </c>
      <c r="N46" s="10"/>
      <c r="R46" s="2"/>
    </row>
    <row r="47" spans="1:18" ht="15.75" x14ac:dyDescent="0.25">
      <c r="A47" s="274"/>
      <c r="B47" s="20">
        <f>DATE(2021,10,1)</f>
        <v>44470</v>
      </c>
      <c r="C47" s="21">
        <v>93325</v>
      </c>
      <c r="D47" s="21">
        <v>79279</v>
      </c>
      <c r="E47" s="23">
        <f>(+C47-D47)/D47</f>
        <v>0.17717176049142899</v>
      </c>
      <c r="F47" s="21">
        <f>+C47-46461</f>
        <v>46864</v>
      </c>
      <c r="G47" s="21">
        <f>+D47-39288</f>
        <v>39991</v>
      </c>
      <c r="H47" s="23">
        <f>(+F47-G47)/G47</f>
        <v>0.17186366932559827</v>
      </c>
      <c r="I47" s="24">
        <f>K47/C47</f>
        <v>61.770488186445213</v>
      </c>
      <c r="J47" s="24">
        <f>K47/F47</f>
        <v>123.0097902441106</v>
      </c>
      <c r="K47" s="21">
        <v>5764730.8099999996</v>
      </c>
      <c r="L47" s="21">
        <v>4994174.3899999997</v>
      </c>
      <c r="M47" s="25">
        <f>(+K47-L47)/L47</f>
        <v>0.15429105189897063</v>
      </c>
      <c r="N47" s="10"/>
      <c r="R47" s="2"/>
    </row>
    <row r="48" spans="1:18" ht="15.75" customHeight="1" thickBot="1" x14ac:dyDescent="0.3">
      <c r="A48" s="19"/>
      <c r="B48" s="20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45" customHeight="1" thickTop="1" thickBot="1" x14ac:dyDescent="0.3">
      <c r="A49" s="39" t="s">
        <v>14</v>
      </c>
      <c r="B49" s="52"/>
      <c r="C49" s="47">
        <f>SUM(C44:C48)</f>
        <v>382944</v>
      </c>
      <c r="D49" s="48">
        <f>SUM(D44:D48)</f>
        <v>306366</v>
      </c>
      <c r="E49" s="281">
        <f>(+C49-D49)/D49</f>
        <v>0.24995593505806779</v>
      </c>
      <c r="F49" s="48">
        <f>SUM(F44:F48)</f>
        <v>192324</v>
      </c>
      <c r="G49" s="47">
        <f>SUM(G44:G48)</f>
        <v>156139</v>
      </c>
      <c r="H49" s="46">
        <f>(+F49-G49)/G49</f>
        <v>0.23174863422975681</v>
      </c>
      <c r="I49" s="51">
        <f>K49/C49</f>
        <v>62.916611776134374</v>
      </c>
      <c r="J49" s="50">
        <f>K49/F49</f>
        <v>125.27577930991453</v>
      </c>
      <c r="K49" s="47">
        <f>SUM(K44:K48)</f>
        <v>24093538.98</v>
      </c>
      <c r="L49" s="48">
        <f>SUM(L44:L48)</f>
        <v>19945869.82</v>
      </c>
      <c r="M49" s="44">
        <f>(+K49-L49)/L49</f>
        <v>0.20794626644164071</v>
      </c>
      <c r="N49" s="10"/>
      <c r="R49" s="2"/>
    </row>
    <row r="50" spans="1:18" ht="15.75" customHeight="1" thickTop="1" x14ac:dyDescent="0.25">
      <c r="A50" s="19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x14ac:dyDescent="0.25">
      <c r="A51" s="19" t="s">
        <v>70</v>
      </c>
      <c r="B51" s="20">
        <f>DATE(2021,7,1)</f>
        <v>44378</v>
      </c>
      <c r="C51" s="21">
        <v>224693</v>
      </c>
      <c r="D51" s="21">
        <v>89782</v>
      </c>
      <c r="E51" s="23">
        <f>(+C51-D51)/D51</f>
        <v>1.502650865429596</v>
      </c>
      <c r="F51" s="21">
        <f>+C51-121301</f>
        <v>103392</v>
      </c>
      <c r="G51" s="21">
        <f>+D51-42122</f>
        <v>47660</v>
      </c>
      <c r="H51" s="23">
        <f>(+F51-G51)/G51</f>
        <v>1.1693663449433487</v>
      </c>
      <c r="I51" s="24">
        <f>K51/C51</f>
        <v>42.343524586880768</v>
      </c>
      <c r="J51" s="24">
        <f>K51/F51</f>
        <v>92.021564240947072</v>
      </c>
      <c r="K51" s="21">
        <v>9514293.5700000003</v>
      </c>
      <c r="L51" s="21">
        <v>4552159.55</v>
      </c>
      <c r="M51" s="25">
        <f>(+K51-L51)/L51</f>
        <v>1.0900615335418111</v>
      </c>
      <c r="N51" s="10"/>
      <c r="R51" s="2"/>
    </row>
    <row r="52" spans="1:18" ht="15.75" x14ac:dyDescent="0.25">
      <c r="A52" s="19"/>
      <c r="B52" s="20">
        <f>DATE(2021,8,1)</f>
        <v>44409</v>
      </c>
      <c r="C52" s="21">
        <v>253687</v>
      </c>
      <c r="D52" s="21">
        <v>90766</v>
      </c>
      <c r="E52" s="23">
        <f>(+C52-D52)/D52</f>
        <v>1.794956261155058</v>
      </c>
      <c r="F52" s="21">
        <f>+C52-139919</f>
        <v>113768</v>
      </c>
      <c r="G52" s="21">
        <f>+D52-42451</f>
        <v>48315</v>
      </c>
      <c r="H52" s="23">
        <f>(+F52-G52)/G52</f>
        <v>1.3547138569802339</v>
      </c>
      <c r="I52" s="24">
        <f>K52/C52</f>
        <v>37.330805047164418</v>
      </c>
      <c r="J52" s="24">
        <f>K52/F52</f>
        <v>83.242563286688693</v>
      </c>
      <c r="K52" s="21">
        <v>9470339.9399999995</v>
      </c>
      <c r="L52" s="21">
        <v>4403282.5999999996</v>
      </c>
      <c r="M52" s="25">
        <f>(+K52-L52)/L52</f>
        <v>1.1507454325098281</v>
      </c>
      <c r="N52" s="10"/>
      <c r="R52" s="2"/>
    </row>
    <row r="53" spans="1:18" ht="15.75" x14ac:dyDescent="0.25">
      <c r="A53" s="19"/>
      <c r="B53" s="20">
        <f>DATE(2021,9,1)</f>
        <v>44440</v>
      </c>
      <c r="C53" s="21">
        <v>235921</v>
      </c>
      <c r="D53" s="21">
        <v>113899</v>
      </c>
      <c r="E53" s="23">
        <f>(+C53-D53)/D53</f>
        <v>1.0713175708302971</v>
      </c>
      <c r="F53" s="21">
        <f>+C53-117745</f>
        <v>118176</v>
      </c>
      <c r="G53" s="21">
        <f>+D53-56486</f>
        <v>57413</v>
      </c>
      <c r="H53" s="23">
        <f>(+F53-G53)/G53</f>
        <v>1.058349154372703</v>
      </c>
      <c r="I53" s="24">
        <f>K53/C53</f>
        <v>42.602001220747624</v>
      </c>
      <c r="J53" s="24">
        <f>K53/F53</f>
        <v>85.048628570945041</v>
      </c>
      <c r="K53" s="21">
        <v>10050706.73</v>
      </c>
      <c r="L53" s="21">
        <v>5356117.45</v>
      </c>
      <c r="M53" s="25">
        <f>(+K53-L53)/L53</f>
        <v>0.87649110084395188</v>
      </c>
      <c r="N53" s="10"/>
      <c r="R53" s="2"/>
    </row>
    <row r="54" spans="1:18" ht="15.75" x14ac:dyDescent="0.25">
      <c r="A54" s="19"/>
      <c r="B54" s="20">
        <f>DATE(2021,10,1)</f>
        <v>44470</v>
      </c>
      <c r="C54" s="21">
        <v>221800</v>
      </c>
      <c r="D54" s="21">
        <v>133252</v>
      </c>
      <c r="E54" s="23">
        <f>(+C54-D54)/D54</f>
        <v>0.66451535436616338</v>
      </c>
      <c r="F54" s="21">
        <f>+C54-108912</f>
        <v>112888</v>
      </c>
      <c r="G54" s="21">
        <f>+D54-63794</f>
        <v>69458</v>
      </c>
      <c r="H54" s="23">
        <f>(+F54-G54)/G54</f>
        <v>0.62526994730628582</v>
      </c>
      <c r="I54" s="24">
        <f>K54/C54</f>
        <v>46.884752795311094</v>
      </c>
      <c r="J54" s="24">
        <f>K54/F54</f>
        <v>92.118189444405076</v>
      </c>
      <c r="K54" s="21">
        <v>10399038.17</v>
      </c>
      <c r="L54" s="21">
        <v>6129955.3200000003</v>
      </c>
      <c r="M54" s="25">
        <f>(+K54-L54)/L54</f>
        <v>0.69642968458047416</v>
      </c>
      <c r="N54" s="10"/>
      <c r="R54" s="2"/>
    </row>
    <row r="55" spans="1:18" ht="15.75" customHeight="1" thickBot="1" x14ac:dyDescent="0.3">
      <c r="A55" s="19"/>
      <c r="B55" s="45"/>
      <c r="C55" s="21"/>
      <c r="D55" s="21"/>
      <c r="E55" s="23"/>
      <c r="F55" s="21"/>
      <c r="G55" s="21"/>
      <c r="H55" s="23"/>
      <c r="I55" s="24"/>
      <c r="J55" s="24"/>
      <c r="K55" s="21"/>
      <c r="L55" s="21"/>
      <c r="M55" s="25"/>
      <c r="N55" s="10"/>
      <c r="R55" s="2"/>
    </row>
    <row r="56" spans="1:18" ht="17.45" customHeight="1" thickTop="1" thickBot="1" x14ac:dyDescent="0.3">
      <c r="A56" s="39" t="s">
        <v>14</v>
      </c>
      <c r="B56" s="52"/>
      <c r="C56" s="47">
        <f>SUM(C51:C55)</f>
        <v>936101</v>
      </c>
      <c r="D56" s="48">
        <f>SUM(D51:D55)</f>
        <v>427699</v>
      </c>
      <c r="E56" s="281">
        <f>(+C56-D56)/D56</f>
        <v>1.1886911122074169</v>
      </c>
      <c r="F56" s="48">
        <f>SUM(F51:F55)</f>
        <v>448224</v>
      </c>
      <c r="G56" s="47">
        <f>SUM(G51:G55)</f>
        <v>222846</v>
      </c>
      <c r="H56" s="53">
        <f>(+F56-G56)/G56</f>
        <v>1.0113621065668668</v>
      </c>
      <c r="I56" s="51">
        <f>K56/C56</f>
        <v>42.126200495459351</v>
      </c>
      <c r="J56" s="50">
        <f>K56/F56</f>
        <v>87.97917650549725</v>
      </c>
      <c r="K56" s="47">
        <f>SUM(K51:K55)</f>
        <v>39434378.409999996</v>
      </c>
      <c r="L56" s="48">
        <f>SUM(L51:L55)</f>
        <v>20441514.919999998</v>
      </c>
      <c r="M56" s="44">
        <f>(+K56-L56)/L56</f>
        <v>0.92913189479011471</v>
      </c>
      <c r="N56" s="10"/>
      <c r="R56" s="2"/>
    </row>
    <row r="57" spans="1:18" ht="15.75" customHeight="1" thickTop="1" x14ac:dyDescent="0.25">
      <c r="A57" s="19"/>
      <c r="B57" s="45"/>
      <c r="C57" s="21"/>
      <c r="D57" s="21"/>
      <c r="E57" s="23"/>
      <c r="F57" s="21"/>
      <c r="G57" s="21"/>
      <c r="H57" s="23"/>
      <c r="I57" s="24"/>
      <c r="J57" s="24"/>
      <c r="K57" s="21"/>
      <c r="L57" s="21"/>
      <c r="M57" s="25"/>
      <c r="N57" s="10"/>
      <c r="R57" s="2"/>
    </row>
    <row r="58" spans="1:18" ht="15.75" customHeight="1" x14ac:dyDescent="0.25">
      <c r="A58" s="19" t="s">
        <v>60</v>
      </c>
      <c r="B58" s="20">
        <f>DATE(2021,7,1)</f>
        <v>44378</v>
      </c>
      <c r="C58" s="21">
        <v>251090</v>
      </c>
      <c r="D58" s="21">
        <v>198458</v>
      </c>
      <c r="E58" s="23">
        <f>(+C58-D58)/D58</f>
        <v>0.26520472845639881</v>
      </c>
      <c r="F58" s="21">
        <f>+C58-113536</f>
        <v>137554</v>
      </c>
      <c r="G58" s="21">
        <f>+D58-91512</f>
        <v>106946</v>
      </c>
      <c r="H58" s="23">
        <f>(+F58-G58)/G58</f>
        <v>0.28620051240813121</v>
      </c>
      <c r="I58" s="24">
        <f>K58/C58</f>
        <v>59.031039945836156</v>
      </c>
      <c r="J58" s="24">
        <f>K58/F58</f>
        <v>107.75480044200823</v>
      </c>
      <c r="K58" s="21">
        <v>14822103.82</v>
      </c>
      <c r="L58" s="21">
        <v>11423179.77</v>
      </c>
      <c r="M58" s="25">
        <f>(+K58-L58)/L58</f>
        <v>0.2975462277960807</v>
      </c>
      <c r="N58" s="10"/>
      <c r="R58" s="2"/>
    </row>
    <row r="59" spans="1:18" ht="15.75" customHeight="1" x14ac:dyDescent="0.25">
      <c r="A59" s="19"/>
      <c r="B59" s="20">
        <f>DATE(2021,8,1)</f>
        <v>44409</v>
      </c>
      <c r="C59" s="21">
        <v>215479</v>
      </c>
      <c r="D59" s="21">
        <v>207170</v>
      </c>
      <c r="E59" s="23">
        <f>(+C59-D59)/D59</f>
        <v>4.0107158372351209E-2</v>
      </c>
      <c r="F59" s="21">
        <f>+C59-96518</f>
        <v>118961</v>
      </c>
      <c r="G59" s="21">
        <f>+D59-94983</f>
        <v>112187</v>
      </c>
      <c r="H59" s="23">
        <f>(+F59-G59)/G59</f>
        <v>6.0381327604802693E-2</v>
      </c>
      <c r="I59" s="24">
        <f>K59/C59</f>
        <v>60.899793761805093</v>
      </c>
      <c r="J59" s="24">
        <f>K59/F59</f>
        <v>110.31032573700625</v>
      </c>
      <c r="K59" s="21">
        <v>13122626.66</v>
      </c>
      <c r="L59" s="21">
        <v>12078246.74</v>
      </c>
      <c r="M59" s="25">
        <f>(+K59-L59)/L59</f>
        <v>8.6467841109859611E-2</v>
      </c>
      <c r="N59" s="10"/>
      <c r="R59" s="2"/>
    </row>
    <row r="60" spans="1:18" ht="15.75" customHeight="1" x14ac:dyDescent="0.25">
      <c r="A60" s="19"/>
      <c r="B60" s="20">
        <f>DATE(2021,9,1)</f>
        <v>44440</v>
      </c>
      <c r="C60" s="21">
        <v>213931</v>
      </c>
      <c r="D60" s="21">
        <v>214679</v>
      </c>
      <c r="E60" s="23">
        <f>(+C60-D60)/D60</f>
        <v>-3.4842718663679259E-3</v>
      </c>
      <c r="F60" s="21">
        <f>+C60-98283</f>
        <v>115648</v>
      </c>
      <c r="G60" s="21">
        <f>+D60-98438</f>
        <v>116241</v>
      </c>
      <c r="H60" s="23">
        <f>(+F60-G60)/G60</f>
        <v>-5.1014702213504704E-3</v>
      </c>
      <c r="I60" s="24">
        <f>K60/C60</f>
        <v>56.659814800099099</v>
      </c>
      <c r="J60" s="24">
        <f>K60/F60</f>
        <v>104.81193656613171</v>
      </c>
      <c r="K60" s="21">
        <v>12121290.84</v>
      </c>
      <c r="L60" s="21">
        <v>11539629.039999999</v>
      </c>
      <c r="M60" s="25">
        <f>(+K60-L60)/L60</f>
        <v>5.0405589121086752E-2</v>
      </c>
      <c r="N60" s="10"/>
      <c r="R60" s="2"/>
    </row>
    <row r="61" spans="1:18" ht="15.75" customHeight="1" x14ac:dyDescent="0.25">
      <c r="A61" s="19"/>
      <c r="B61" s="20">
        <f>DATE(2021,10,1)</f>
        <v>44470</v>
      </c>
      <c r="C61" s="21">
        <v>212915</v>
      </c>
      <c r="D61" s="21">
        <v>212255</v>
      </c>
      <c r="E61" s="23">
        <f>(+C61-D61)/D61</f>
        <v>3.1094673859273043E-3</v>
      </c>
      <c r="F61" s="21">
        <f>+C61-99053</f>
        <v>113862</v>
      </c>
      <c r="G61" s="21">
        <f>+D61-97155</f>
        <v>115100</v>
      </c>
      <c r="H61" s="23">
        <f>(+F61-G61)/G61</f>
        <v>-1.0755864465682016E-2</v>
      </c>
      <c r="I61" s="24">
        <f>K61/C61</f>
        <v>60.264709485005753</v>
      </c>
      <c r="J61" s="24">
        <f>K61/F61</f>
        <v>112.6913335441148</v>
      </c>
      <c r="K61" s="21">
        <v>12831260.619999999</v>
      </c>
      <c r="L61" s="21">
        <v>11315553.33</v>
      </c>
      <c r="M61" s="25">
        <f>(+K61-L61)/L61</f>
        <v>0.13394902094460803</v>
      </c>
      <c r="N61" s="10"/>
      <c r="R61" s="2"/>
    </row>
    <row r="62" spans="1:18" ht="15.75" customHeight="1" thickBot="1" x14ac:dyDescent="0.3">
      <c r="A62" s="19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25" thickTop="1" thickBot="1" x14ac:dyDescent="0.3">
      <c r="A63" s="39" t="s">
        <v>14</v>
      </c>
      <c r="B63" s="40"/>
      <c r="C63" s="41">
        <f>SUM(C58:C62)</f>
        <v>893415</v>
      </c>
      <c r="D63" s="41">
        <f>SUM(D58:D62)</f>
        <v>832562</v>
      </c>
      <c r="E63" s="280">
        <f>(+C63-D63)/D63</f>
        <v>7.3091253264021175E-2</v>
      </c>
      <c r="F63" s="41">
        <f>SUM(F58:F62)</f>
        <v>486025</v>
      </c>
      <c r="G63" s="41">
        <f>SUM(G58:G62)</f>
        <v>450474</v>
      </c>
      <c r="H63" s="42">
        <f>(+F63-G63)/G63</f>
        <v>7.8919094109759946E-2</v>
      </c>
      <c r="I63" s="43">
        <f>K63/C63</f>
        <v>59.207962637743933</v>
      </c>
      <c r="J63" s="43">
        <f>K63/F63</f>
        <v>108.8365453217427</v>
      </c>
      <c r="K63" s="41">
        <f>SUM(K58:K62)</f>
        <v>52897281.939999998</v>
      </c>
      <c r="L63" s="41">
        <f>SUM(L58:L62)</f>
        <v>46356608.879999995</v>
      </c>
      <c r="M63" s="44">
        <f>(+K63-L63)/L63</f>
        <v>0.14109472668571099</v>
      </c>
      <c r="N63" s="10"/>
      <c r="R63" s="2"/>
    </row>
    <row r="64" spans="1:18" ht="15.75" customHeight="1" thickTop="1" x14ac:dyDescent="0.2">
      <c r="A64" s="54"/>
      <c r="B64" s="55"/>
      <c r="C64" s="55"/>
      <c r="D64" s="55"/>
      <c r="E64" s="56"/>
      <c r="F64" s="55"/>
      <c r="G64" s="55"/>
      <c r="H64" s="56"/>
      <c r="I64" s="55"/>
      <c r="J64" s="55"/>
      <c r="K64" s="196"/>
      <c r="L64" s="196"/>
      <c r="M64" s="57"/>
      <c r="N64" s="10"/>
      <c r="R64" s="2"/>
    </row>
    <row r="65" spans="1:18" ht="15.75" customHeight="1" x14ac:dyDescent="0.25">
      <c r="A65" s="19" t="s">
        <v>16</v>
      </c>
      <c r="B65" s="20">
        <f>DATE(2021,7,1)</f>
        <v>44378</v>
      </c>
      <c r="C65" s="21">
        <v>292626</v>
      </c>
      <c r="D65" s="21">
        <v>211446</v>
      </c>
      <c r="E65" s="23">
        <f>(+C65-D65)/D65</f>
        <v>0.38392781135609094</v>
      </c>
      <c r="F65" s="21">
        <f>+C65-144119</f>
        <v>148507</v>
      </c>
      <c r="G65" s="21">
        <f>+D65-102823</f>
        <v>108623</v>
      </c>
      <c r="H65" s="23">
        <f>(+F65-G65)/G65</f>
        <v>0.36717822192353367</v>
      </c>
      <c r="I65" s="24">
        <f>K65/C65</f>
        <v>61.884126359243538</v>
      </c>
      <c r="J65" s="24">
        <f>K65/F65</f>
        <v>121.93973590470482</v>
      </c>
      <c r="K65" s="21">
        <v>18108904.359999999</v>
      </c>
      <c r="L65" s="21">
        <v>13827445.609999999</v>
      </c>
      <c r="M65" s="25">
        <f>(+K65-L65)/L65</f>
        <v>0.3096348284967147</v>
      </c>
      <c r="N65" s="10"/>
      <c r="R65" s="2"/>
    </row>
    <row r="66" spans="1:18" ht="15.75" customHeight="1" x14ac:dyDescent="0.25">
      <c r="A66" s="19"/>
      <c r="B66" s="20">
        <f>DATE(2021,8,1)</f>
        <v>44409</v>
      </c>
      <c r="C66" s="21">
        <v>252812</v>
      </c>
      <c r="D66" s="21">
        <v>225551</v>
      </c>
      <c r="E66" s="23">
        <f>(+C66-D66)/D66</f>
        <v>0.12086401745059876</v>
      </c>
      <c r="F66" s="21">
        <f>+C66-122587</f>
        <v>130225</v>
      </c>
      <c r="G66" s="21">
        <f>+D66-110461</f>
        <v>115090</v>
      </c>
      <c r="H66" s="23">
        <f>(+F66-G66)/G66</f>
        <v>0.13150577808671474</v>
      </c>
      <c r="I66" s="24">
        <f>K66/C66</f>
        <v>64.409354381912252</v>
      </c>
      <c r="J66" s="24">
        <f>K66/F66</f>
        <v>125.04094989441352</v>
      </c>
      <c r="K66" s="21">
        <v>16283457.699999999</v>
      </c>
      <c r="L66" s="21">
        <v>14343284.68</v>
      </c>
      <c r="M66" s="25">
        <f>(+K66-L66)/L66</f>
        <v>0.13526699520266369</v>
      </c>
      <c r="N66" s="10"/>
      <c r="R66" s="2"/>
    </row>
    <row r="67" spans="1:18" ht="15.75" customHeight="1" x14ac:dyDescent="0.25">
      <c r="A67" s="19"/>
      <c r="B67" s="20">
        <f>DATE(2021,9,1)</f>
        <v>44440</v>
      </c>
      <c r="C67" s="21">
        <v>245992</v>
      </c>
      <c r="D67" s="21">
        <v>224827</v>
      </c>
      <c r="E67" s="23">
        <f>(+C67-D67)/D67</f>
        <v>9.4139049135557568E-2</v>
      </c>
      <c r="F67" s="21">
        <f>+C67-120862</f>
        <v>125130</v>
      </c>
      <c r="G67" s="21">
        <f>+D67-110393</f>
        <v>114434</v>
      </c>
      <c r="H67" s="23">
        <f>(+F67-G67)/G67</f>
        <v>9.3468724330181593E-2</v>
      </c>
      <c r="I67" s="24">
        <f>K67/C67</f>
        <v>58.827599881296948</v>
      </c>
      <c r="J67" s="24">
        <f>K67/F67</f>
        <v>115.64867697594501</v>
      </c>
      <c r="K67" s="21">
        <v>14471118.949999999</v>
      </c>
      <c r="L67" s="21">
        <v>13592591.220000001</v>
      </c>
      <c r="M67" s="25">
        <f>(+K67-L67)/L67</f>
        <v>6.4632836799163193E-2</v>
      </c>
      <c r="N67" s="10"/>
      <c r="R67" s="2"/>
    </row>
    <row r="68" spans="1:18" ht="15.75" customHeight="1" x14ac:dyDescent="0.25">
      <c r="A68" s="19"/>
      <c r="B68" s="20">
        <f>DATE(2021,10,1)</f>
        <v>44470</v>
      </c>
      <c r="C68" s="21">
        <v>265943</v>
      </c>
      <c r="D68" s="21">
        <v>236689</v>
      </c>
      <c r="E68" s="23">
        <f>(+C68-D68)/D68</f>
        <v>0.12359678734541951</v>
      </c>
      <c r="F68" s="21">
        <f>+C68-130327</f>
        <v>135616</v>
      </c>
      <c r="G68" s="21">
        <f>+D68-116990</f>
        <v>119699</v>
      </c>
      <c r="H68" s="23">
        <f>(+F68-G68)/G68</f>
        <v>0.13297521282550398</v>
      </c>
      <c r="I68" s="24">
        <f>K68/C68</f>
        <v>62.018882880918092</v>
      </c>
      <c r="J68" s="24">
        <f>K68/F68</f>
        <v>121.61904030497875</v>
      </c>
      <c r="K68" s="21">
        <v>16493487.77</v>
      </c>
      <c r="L68" s="21">
        <v>14448861.33</v>
      </c>
      <c r="M68" s="25">
        <f>(+K68-L68)/L68</f>
        <v>0.14150779035817623</v>
      </c>
      <c r="N68" s="10"/>
      <c r="R68" s="2"/>
    </row>
    <row r="69" spans="1:18" ht="15.75" customHeight="1" thickBot="1" x14ac:dyDescent="0.3">
      <c r="A69" s="19"/>
      <c r="B69" s="45"/>
      <c r="C69" s="21"/>
      <c r="D69" s="21"/>
      <c r="E69" s="23"/>
      <c r="F69" s="21"/>
      <c r="G69" s="21"/>
      <c r="H69" s="23"/>
      <c r="I69" s="24"/>
      <c r="J69" s="24"/>
      <c r="K69" s="21"/>
      <c r="L69" s="21"/>
      <c r="M69" s="25"/>
      <c r="N69" s="10"/>
      <c r="R69" s="2"/>
    </row>
    <row r="70" spans="1:18" ht="17.25" thickTop="1" thickBot="1" x14ac:dyDescent="0.3">
      <c r="A70" s="39" t="s">
        <v>14</v>
      </c>
      <c r="B70" s="40"/>
      <c r="C70" s="41">
        <f>SUM(C65:C69)</f>
        <v>1057373</v>
      </c>
      <c r="D70" s="41">
        <f>SUM(D65:D69)</f>
        <v>898513</v>
      </c>
      <c r="E70" s="280">
        <f>(+C70-D70)/D70</f>
        <v>0.17680322933558001</v>
      </c>
      <c r="F70" s="41">
        <f>SUM(F65:F69)</f>
        <v>539478</v>
      </c>
      <c r="G70" s="41">
        <f>SUM(G65:G69)</f>
        <v>457846</v>
      </c>
      <c r="H70" s="42">
        <f>(+F70-G70)/G70</f>
        <v>0.17829575883594048</v>
      </c>
      <c r="I70" s="43">
        <f>K70/C70</f>
        <v>61.810703299592483</v>
      </c>
      <c r="J70" s="43">
        <f>K70/F70</f>
        <v>121.14853391611892</v>
      </c>
      <c r="K70" s="41">
        <f>SUM(K65:K69)</f>
        <v>65356968.780000001</v>
      </c>
      <c r="L70" s="41">
        <f>SUM(L65:L69)</f>
        <v>56212182.839999996</v>
      </c>
      <c r="M70" s="44">
        <f>(+K70-L70)/L70</f>
        <v>0.16268334510384236</v>
      </c>
      <c r="N70" s="10"/>
      <c r="R70" s="2"/>
    </row>
    <row r="71" spans="1:18" ht="15.75" customHeight="1" thickTop="1" x14ac:dyDescent="0.2">
      <c r="A71" s="54"/>
      <c r="B71" s="55"/>
      <c r="C71" s="55"/>
      <c r="D71" s="55"/>
      <c r="E71" s="56"/>
      <c r="F71" s="55"/>
      <c r="G71" s="55"/>
      <c r="H71" s="56"/>
      <c r="I71" s="55"/>
      <c r="J71" s="55"/>
      <c r="K71" s="196"/>
      <c r="L71" s="196"/>
      <c r="M71" s="57"/>
      <c r="N71" s="10"/>
      <c r="R71" s="2"/>
    </row>
    <row r="72" spans="1:18" ht="15.75" customHeight="1" x14ac:dyDescent="0.25">
      <c r="A72" s="19" t="s">
        <v>54</v>
      </c>
      <c r="B72" s="20">
        <f>DATE(2021,7,1)</f>
        <v>44378</v>
      </c>
      <c r="C72" s="21">
        <v>338901</v>
      </c>
      <c r="D72" s="21">
        <v>223492</v>
      </c>
      <c r="E72" s="23">
        <f>(+C72-D72)/D72</f>
        <v>0.51638984840620694</v>
      </c>
      <c r="F72" s="21">
        <f>+C72-160819</f>
        <v>178082</v>
      </c>
      <c r="G72" s="21">
        <f>+D72-109534</f>
        <v>113958</v>
      </c>
      <c r="H72" s="23">
        <f>(+F72-G72)/G72</f>
        <v>0.56269853805788095</v>
      </c>
      <c r="I72" s="24">
        <f>K72/C72</f>
        <v>59.424074818309769</v>
      </c>
      <c r="J72" s="24">
        <f>K72/F72</f>
        <v>113.08766961287496</v>
      </c>
      <c r="K72" s="21">
        <v>20138878.379999999</v>
      </c>
      <c r="L72" s="21">
        <v>15036571.48</v>
      </c>
      <c r="M72" s="25">
        <f>(+K72-L72)/L72</f>
        <v>0.33932648189027187</v>
      </c>
      <c r="N72" s="10"/>
      <c r="R72" s="2"/>
    </row>
    <row r="73" spans="1:18" ht="15.75" customHeight="1" x14ac:dyDescent="0.25">
      <c r="A73" s="19"/>
      <c r="B73" s="20">
        <f>DATE(2021,8,1)</f>
        <v>44409</v>
      </c>
      <c r="C73" s="21">
        <v>315503</v>
      </c>
      <c r="D73" s="21">
        <v>243172</v>
      </c>
      <c r="E73" s="23">
        <f>(+C73-D73)/D73</f>
        <v>0.29744789696182128</v>
      </c>
      <c r="F73" s="21">
        <f>+C73-149989</f>
        <v>165514</v>
      </c>
      <c r="G73" s="21">
        <f>+D73-117936</f>
        <v>125236</v>
      </c>
      <c r="H73" s="23">
        <f>(+F73-G73)/G73</f>
        <v>0.32161678750519018</v>
      </c>
      <c r="I73" s="24">
        <f>K73/C73</f>
        <v>60.83894787054323</v>
      </c>
      <c r="J73" s="24">
        <f>K73/F73</f>
        <v>115.97128079799896</v>
      </c>
      <c r="K73" s="21">
        <v>19194870.57</v>
      </c>
      <c r="L73" s="21">
        <v>15861571.800000001</v>
      </c>
      <c r="M73" s="25">
        <f>(+K73-L73)/L73</f>
        <v>0.21014933526323032</v>
      </c>
      <c r="N73" s="10"/>
      <c r="R73" s="2"/>
    </row>
    <row r="74" spans="1:18" ht="15.75" customHeight="1" x14ac:dyDescent="0.25">
      <c r="A74" s="19"/>
      <c r="B74" s="20">
        <f>DATE(2021,9,1)</f>
        <v>44440</v>
      </c>
      <c r="C74" s="21">
        <v>329297</v>
      </c>
      <c r="D74" s="21">
        <v>258989</v>
      </c>
      <c r="E74" s="23">
        <f>(+C74-D74)/D74</f>
        <v>0.27147098911536782</v>
      </c>
      <c r="F74" s="21">
        <f>+C74-155913</f>
        <v>173384</v>
      </c>
      <c r="G74" s="21">
        <f>+D74-126754</f>
        <v>132235</v>
      </c>
      <c r="H74" s="23">
        <f>(+F74-G74)/G74</f>
        <v>0.3111808522705789</v>
      </c>
      <c r="I74" s="24">
        <f>K74/C74</f>
        <v>59.145045171987604</v>
      </c>
      <c r="J74" s="24">
        <f>K74/F74</f>
        <v>112.33035308909704</v>
      </c>
      <c r="K74" s="21">
        <v>19476285.940000001</v>
      </c>
      <c r="L74" s="21">
        <v>16406074.949999999</v>
      </c>
      <c r="M74" s="25">
        <f>(+K74-L74)/L74</f>
        <v>0.18713866658277106</v>
      </c>
      <c r="N74" s="10"/>
      <c r="R74" s="2"/>
    </row>
    <row r="75" spans="1:18" ht="15.75" customHeight="1" x14ac:dyDescent="0.25">
      <c r="A75" s="19"/>
      <c r="B75" s="20">
        <f>DATE(2021,10,1)</f>
        <v>44470</v>
      </c>
      <c r="C75" s="21">
        <v>343168</v>
      </c>
      <c r="D75" s="21">
        <v>272659</v>
      </c>
      <c r="E75" s="23">
        <f>(+C75-D75)/D75</f>
        <v>0.25859773563315352</v>
      </c>
      <c r="F75" s="21">
        <f>+C75-164416</f>
        <v>178752</v>
      </c>
      <c r="G75" s="21">
        <f>+D75-130567</f>
        <v>142092</v>
      </c>
      <c r="H75" s="23">
        <f>(+F75-G75)/G75</f>
        <v>0.25800185795118658</v>
      </c>
      <c r="I75" s="24">
        <f>K75/C75</f>
        <v>61.274948392624019</v>
      </c>
      <c r="J75" s="24">
        <f>K75/F75</f>
        <v>117.63561520989974</v>
      </c>
      <c r="K75" s="21">
        <v>21027601.489999998</v>
      </c>
      <c r="L75" s="21">
        <v>16384207.619999999</v>
      </c>
      <c r="M75" s="25">
        <f>(+K75-L75)/L75</f>
        <v>0.28340667902254035</v>
      </c>
      <c r="N75" s="10"/>
      <c r="R75" s="2"/>
    </row>
    <row r="76" spans="1:18" ht="15.75" customHeight="1" thickBot="1" x14ac:dyDescent="0.3">
      <c r="A76" s="19"/>
      <c r="B76" s="45"/>
      <c r="C76" s="21"/>
      <c r="D76" s="21"/>
      <c r="E76" s="23"/>
      <c r="F76" s="21"/>
      <c r="G76" s="21"/>
      <c r="H76" s="23"/>
      <c r="I76" s="24"/>
      <c r="J76" s="24"/>
      <c r="K76" s="21"/>
      <c r="L76" s="21"/>
      <c r="M76" s="25"/>
      <c r="N76" s="10"/>
      <c r="R76" s="2"/>
    </row>
    <row r="77" spans="1:18" ht="17.25" thickTop="1" thickBot="1" x14ac:dyDescent="0.3">
      <c r="A77" s="39" t="s">
        <v>14</v>
      </c>
      <c r="B77" s="40"/>
      <c r="C77" s="41">
        <f>SUM(C72:C76)</f>
        <v>1326869</v>
      </c>
      <c r="D77" s="41">
        <f>SUM(D72:D76)</f>
        <v>998312</v>
      </c>
      <c r="E77" s="280">
        <f>(+C77-D77)/D77</f>
        <v>0.32911254197084677</v>
      </c>
      <c r="F77" s="41">
        <f>SUM(F72:F76)</f>
        <v>695732</v>
      </c>
      <c r="G77" s="41">
        <f>SUM(G72:G76)</f>
        <v>513521</v>
      </c>
      <c r="H77" s="42">
        <f>(+F77-G77)/G77</f>
        <v>0.35482677436755267</v>
      </c>
      <c r="I77" s="43">
        <f>K77/C77</f>
        <v>60.169946226794053</v>
      </c>
      <c r="J77" s="43">
        <f>K77/F77</f>
        <v>114.75343433965952</v>
      </c>
      <c r="K77" s="41">
        <f>SUM(K72:K76)</f>
        <v>79837636.379999995</v>
      </c>
      <c r="L77" s="41">
        <f>SUM(L72:L76)</f>
        <v>63688425.850000001</v>
      </c>
      <c r="M77" s="44">
        <f>(+K77-L77)/L77</f>
        <v>0.25356586089966915</v>
      </c>
      <c r="N77" s="10"/>
      <c r="R77" s="2"/>
    </row>
    <row r="78" spans="1:18" ht="15.75" customHeight="1" thickTop="1" x14ac:dyDescent="0.2">
      <c r="A78" s="58"/>
      <c r="B78" s="59"/>
      <c r="C78" s="59"/>
      <c r="D78" s="59"/>
      <c r="E78" s="60"/>
      <c r="F78" s="59"/>
      <c r="G78" s="59"/>
      <c r="H78" s="60"/>
      <c r="I78" s="59"/>
      <c r="J78" s="59"/>
      <c r="K78" s="197"/>
      <c r="L78" s="197"/>
      <c r="M78" s="61"/>
      <c r="N78" s="10"/>
      <c r="R78" s="2"/>
    </row>
    <row r="79" spans="1:18" ht="15" customHeight="1" x14ac:dyDescent="0.25">
      <c r="A79" s="19" t="s">
        <v>55</v>
      </c>
      <c r="B79" s="20">
        <f>DATE(2021,7,1)</f>
        <v>44378</v>
      </c>
      <c r="C79" s="21">
        <v>54523</v>
      </c>
      <c r="D79" s="21">
        <v>43226</v>
      </c>
      <c r="E79" s="23">
        <f>(+C79-D79)/D79</f>
        <v>0.26134733725072873</v>
      </c>
      <c r="F79" s="21">
        <f>+C79-27936</f>
        <v>26587</v>
      </c>
      <c r="G79" s="21">
        <f>+D79-22161</f>
        <v>21065</v>
      </c>
      <c r="H79" s="23">
        <f>(+F79-G79)/G79</f>
        <v>0.26214099216710185</v>
      </c>
      <c r="I79" s="24">
        <f>K79/C79</f>
        <v>66.702283806833819</v>
      </c>
      <c r="J79" s="24">
        <f>K79/F79</f>
        <v>136.78898032873209</v>
      </c>
      <c r="K79" s="21">
        <v>3636808.62</v>
      </c>
      <c r="L79" s="21">
        <v>2973337.45</v>
      </c>
      <c r="M79" s="25">
        <f>(+K79-L79)/L79</f>
        <v>0.22314021908276838</v>
      </c>
      <c r="N79" s="10"/>
      <c r="R79" s="2"/>
    </row>
    <row r="80" spans="1:18" ht="15" customHeight="1" x14ac:dyDescent="0.25">
      <c r="A80" s="19"/>
      <c r="B80" s="20">
        <f>DATE(2021,8,1)</f>
        <v>44409</v>
      </c>
      <c r="C80" s="21">
        <v>47684</v>
      </c>
      <c r="D80" s="21">
        <v>46706</v>
      </c>
      <c r="E80" s="23">
        <f>(+C80-D80)/D80</f>
        <v>2.0939493855179205E-2</v>
      </c>
      <c r="F80" s="21">
        <f>+C80-24640</f>
        <v>23044</v>
      </c>
      <c r="G80" s="21">
        <f>+D80-23797</f>
        <v>22909</v>
      </c>
      <c r="H80" s="23">
        <f>(+F80-G80)/G80</f>
        <v>5.8928805273036795E-3</v>
      </c>
      <c r="I80" s="24">
        <f>K80/C80</f>
        <v>67.626973198557167</v>
      </c>
      <c r="J80" s="24">
        <f>K80/F80</f>
        <v>139.93771003298039</v>
      </c>
      <c r="K80" s="21">
        <v>3224724.59</v>
      </c>
      <c r="L80" s="21">
        <v>3072719.82</v>
      </c>
      <c r="M80" s="25">
        <f>(+K80-L80)/L80</f>
        <v>4.9469127972754781E-2</v>
      </c>
      <c r="N80" s="10"/>
      <c r="R80" s="2"/>
    </row>
    <row r="81" spans="1:18" ht="15" customHeight="1" x14ac:dyDescent="0.25">
      <c r="A81" s="19"/>
      <c r="B81" s="20">
        <f>DATE(2021,9,1)</f>
        <v>44440</v>
      </c>
      <c r="C81" s="21">
        <v>47289</v>
      </c>
      <c r="D81" s="21">
        <v>44655</v>
      </c>
      <c r="E81" s="23">
        <f>(+C81-D81)/D81</f>
        <v>5.8985555928787368E-2</v>
      </c>
      <c r="F81" s="21">
        <f>+C81-24190</f>
        <v>23099</v>
      </c>
      <c r="G81" s="21">
        <f>+D81-22941</f>
        <v>21714</v>
      </c>
      <c r="H81" s="23">
        <f>(+F81-G81)/G81</f>
        <v>6.3783733996499947E-2</v>
      </c>
      <c r="I81" s="24">
        <f>K81/C81</f>
        <v>66.497497303812722</v>
      </c>
      <c r="J81" s="24">
        <f>K81/F81</f>
        <v>136.13576994675094</v>
      </c>
      <c r="K81" s="21">
        <v>3144600.15</v>
      </c>
      <c r="L81" s="21">
        <v>2816158.99</v>
      </c>
      <c r="M81" s="25">
        <f>(+K81-L81)/L81</f>
        <v>0.11662734993523916</v>
      </c>
      <c r="N81" s="10"/>
      <c r="R81" s="2"/>
    </row>
    <row r="82" spans="1:18" ht="15" customHeight="1" x14ac:dyDescent="0.25">
      <c r="A82" s="19"/>
      <c r="B82" s="20">
        <f>DATE(2021,10,1)</f>
        <v>44470</v>
      </c>
      <c r="C82" s="21">
        <v>51019</v>
      </c>
      <c r="D82" s="21">
        <v>42403</v>
      </c>
      <c r="E82" s="23">
        <f>(+C82-D82)/D82</f>
        <v>0.20319317029455464</v>
      </c>
      <c r="F82" s="21">
        <f>+C82-26626</f>
        <v>24393</v>
      </c>
      <c r="G82" s="21">
        <f>+D82-22277</f>
        <v>20126</v>
      </c>
      <c r="H82" s="23">
        <f>(+F82-G82)/G82</f>
        <v>0.21201430984795785</v>
      </c>
      <c r="I82" s="24">
        <f>K82/C82</f>
        <v>68.506604010270692</v>
      </c>
      <c r="J82" s="24">
        <f>K82/F82</f>
        <v>143.28448448325341</v>
      </c>
      <c r="K82" s="21">
        <v>3495138.43</v>
      </c>
      <c r="L82" s="21">
        <v>2872212.37</v>
      </c>
      <c r="M82" s="25">
        <f>(+K82-L82)/L82</f>
        <v>0.21688022324059555</v>
      </c>
      <c r="N82" s="10"/>
      <c r="R82" s="2"/>
    </row>
    <row r="83" spans="1:18" ht="15.75" thickBot="1" x14ac:dyDescent="0.25">
      <c r="A83" s="38"/>
      <c r="B83" s="20"/>
      <c r="C83" s="21"/>
      <c r="D83" s="21"/>
      <c r="E83" s="23"/>
      <c r="F83" s="21"/>
      <c r="G83" s="21"/>
      <c r="H83" s="23"/>
      <c r="I83" s="24"/>
      <c r="J83" s="24"/>
      <c r="K83" s="21"/>
      <c r="L83" s="21"/>
      <c r="M83" s="25"/>
      <c r="N83" s="10"/>
      <c r="R83" s="2"/>
    </row>
    <row r="84" spans="1:18" ht="17.25" thickTop="1" thickBot="1" x14ac:dyDescent="0.3">
      <c r="A84" s="62" t="s">
        <v>14</v>
      </c>
      <c r="B84" s="52"/>
      <c r="C84" s="48">
        <f>SUM(C79:C83)</f>
        <v>200515</v>
      </c>
      <c r="D84" s="48">
        <f>SUM(D79:D83)</f>
        <v>176990</v>
      </c>
      <c r="E84" s="280">
        <f>(+C84-D84)/D84</f>
        <v>0.13291711396124076</v>
      </c>
      <c r="F84" s="48">
        <f>SUM(F79:F83)</f>
        <v>97123</v>
      </c>
      <c r="G84" s="48">
        <f>SUM(G79:G83)</f>
        <v>85814</v>
      </c>
      <c r="H84" s="42">
        <f>(+F84-G84)/G84</f>
        <v>0.13178502342275153</v>
      </c>
      <c r="I84" s="50">
        <f>K84/C84</f>
        <v>67.332976535421281</v>
      </c>
      <c r="J84" s="50">
        <f>K84/F84</f>
        <v>139.01209589901464</v>
      </c>
      <c r="K84" s="48">
        <f>SUM(K79:K83)</f>
        <v>13501271.789999999</v>
      </c>
      <c r="L84" s="48">
        <f>SUM(L79:L83)</f>
        <v>11734428.629999999</v>
      </c>
      <c r="M84" s="44">
        <f>(+K84-L84)/L84</f>
        <v>0.15056916836009598</v>
      </c>
      <c r="N84" s="10"/>
      <c r="R84" s="2"/>
    </row>
    <row r="85" spans="1:18" ht="15.75" customHeight="1" thickTop="1" x14ac:dyDescent="0.25">
      <c r="A85" s="19"/>
      <c r="B85" s="45"/>
      <c r="C85" s="21"/>
      <c r="D85" s="21"/>
      <c r="E85" s="23"/>
      <c r="F85" s="21"/>
      <c r="G85" s="21"/>
      <c r="H85" s="23"/>
      <c r="I85" s="24"/>
      <c r="J85" s="24"/>
      <c r="K85" s="21"/>
      <c r="L85" s="21"/>
      <c r="M85" s="25"/>
      <c r="N85" s="10"/>
      <c r="R85" s="2"/>
    </row>
    <row r="86" spans="1:18" ht="15.75" x14ac:dyDescent="0.25">
      <c r="A86" s="19" t="s">
        <v>17</v>
      </c>
      <c r="B86" s="20">
        <f>DATE(2021,7,1)</f>
        <v>44378</v>
      </c>
      <c r="C86" s="21">
        <v>395405</v>
      </c>
      <c r="D86" s="21">
        <v>316439</v>
      </c>
      <c r="E86" s="23">
        <f>(+C86-D86)/D86</f>
        <v>0.24954572603250547</v>
      </c>
      <c r="F86" s="21">
        <f>+C86-202613</f>
        <v>192792</v>
      </c>
      <c r="G86" s="21">
        <f>+D86-163690</f>
        <v>152749</v>
      </c>
      <c r="H86" s="23">
        <f>(+F86-G86)/G86</f>
        <v>0.26214901570550381</v>
      </c>
      <c r="I86" s="24">
        <f>K86/C86</f>
        <v>66.968329004438488</v>
      </c>
      <c r="J86" s="24">
        <f>K86/F86</f>
        <v>137.34808565708121</v>
      </c>
      <c r="K86" s="21">
        <v>26479612.129999999</v>
      </c>
      <c r="L86" s="21">
        <v>22725911.809999999</v>
      </c>
      <c r="M86" s="25">
        <f>(+K86-L86)/L86</f>
        <v>0.1651727046810185</v>
      </c>
      <c r="N86" s="10"/>
      <c r="R86" s="2"/>
    </row>
    <row r="87" spans="1:18" ht="15.75" x14ac:dyDescent="0.25">
      <c r="A87" s="19"/>
      <c r="B87" s="20">
        <f>DATE(2021,8,1)</f>
        <v>44409</v>
      </c>
      <c r="C87" s="21">
        <v>371634</v>
      </c>
      <c r="D87" s="21">
        <v>305395</v>
      </c>
      <c r="E87" s="23">
        <f>(+C87-D87)/D87</f>
        <v>0.21689615088655675</v>
      </c>
      <c r="F87" s="21">
        <f>+C87-197282</f>
        <v>174352</v>
      </c>
      <c r="G87" s="21">
        <f>+D87-155433</f>
        <v>149962</v>
      </c>
      <c r="H87" s="23">
        <f>(+F87-G87)/G87</f>
        <v>0.16264120243795094</v>
      </c>
      <c r="I87" s="24">
        <f>K87/C87</f>
        <v>65.719749430891682</v>
      </c>
      <c r="J87" s="24">
        <f>K87/F87</f>
        <v>140.08266816555016</v>
      </c>
      <c r="K87" s="21">
        <v>24423693.359999999</v>
      </c>
      <c r="L87" s="21">
        <v>20775703.289999999</v>
      </c>
      <c r="M87" s="25">
        <f>(+K87-L87)/L87</f>
        <v>0.17558924572030699</v>
      </c>
      <c r="N87" s="10"/>
      <c r="R87" s="2"/>
    </row>
    <row r="88" spans="1:18" ht="15.75" x14ac:dyDescent="0.25">
      <c r="A88" s="19"/>
      <c r="B88" s="20">
        <f>DATE(2021,9,1)</f>
        <v>44440</v>
      </c>
      <c r="C88" s="21">
        <v>353777</v>
      </c>
      <c r="D88" s="21">
        <v>318244</v>
      </c>
      <c r="E88" s="23">
        <f>(+C88-D88)/D88</f>
        <v>0.11165332260781036</v>
      </c>
      <c r="F88" s="21">
        <f>+C88-184328</f>
        <v>169449</v>
      </c>
      <c r="G88" s="21">
        <f>+D88-166636</f>
        <v>151608</v>
      </c>
      <c r="H88" s="23">
        <f>(+F88-G88)/G88</f>
        <v>0.11767848662339718</v>
      </c>
      <c r="I88" s="24">
        <f>K88/C88</f>
        <v>67.155134053372606</v>
      </c>
      <c r="J88" s="24">
        <f>K88/F88</f>
        <v>140.20703491906119</v>
      </c>
      <c r="K88" s="21">
        <v>23757941.859999999</v>
      </c>
      <c r="L88" s="21">
        <v>20397277.649999999</v>
      </c>
      <c r="M88" s="25">
        <f>(+K88-L88)/L88</f>
        <v>0.16476042870358246</v>
      </c>
      <c r="N88" s="10"/>
      <c r="R88" s="2"/>
    </row>
    <row r="89" spans="1:18" ht="15.75" x14ac:dyDescent="0.25">
      <c r="A89" s="19"/>
      <c r="B89" s="20">
        <f>DATE(2021,10,1)</f>
        <v>44470</v>
      </c>
      <c r="C89" s="21">
        <v>364454</v>
      </c>
      <c r="D89" s="21">
        <v>334295</v>
      </c>
      <c r="E89" s="23">
        <f>(+C89-D89)/D89</f>
        <v>9.0216724749098851E-2</v>
      </c>
      <c r="F89" s="21">
        <f>+C89-184794</f>
        <v>179660</v>
      </c>
      <c r="G89" s="21">
        <f>+D89-175103</f>
        <v>159192</v>
      </c>
      <c r="H89" s="23">
        <f>(+F89-G89)/G89</f>
        <v>0.12857430021609126</v>
      </c>
      <c r="I89" s="24">
        <f>K89/C89</f>
        <v>73.070886010305827</v>
      </c>
      <c r="J89" s="24">
        <f>K89/F89</f>
        <v>148.22986023600134</v>
      </c>
      <c r="K89" s="21">
        <v>26630976.690000001</v>
      </c>
      <c r="L89" s="21">
        <v>21914196.890000001</v>
      </c>
      <c r="M89" s="25">
        <f>(+K89-L89)/L89</f>
        <v>0.21523854256107308</v>
      </c>
      <c r="N89" s="10"/>
      <c r="R89" s="2"/>
    </row>
    <row r="90" spans="1:18" ht="15.75" thickBot="1" x14ac:dyDescent="0.25">
      <c r="A90" s="38"/>
      <c r="B90" s="45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25" thickTop="1" thickBot="1" x14ac:dyDescent="0.3">
      <c r="A91" s="39" t="s">
        <v>14</v>
      </c>
      <c r="B91" s="40"/>
      <c r="C91" s="41">
        <f>SUM(C86:C90)</f>
        <v>1485270</v>
      </c>
      <c r="D91" s="41">
        <f>SUM(D86:D90)</f>
        <v>1274373</v>
      </c>
      <c r="E91" s="280">
        <f>(+C91-D91)/D91</f>
        <v>0.16549079429648933</v>
      </c>
      <c r="F91" s="41">
        <f>SUM(F86:F90)</f>
        <v>716253</v>
      </c>
      <c r="G91" s="41">
        <f>SUM(G86:G90)</f>
        <v>613511</v>
      </c>
      <c r="H91" s="42">
        <f>(+F91-G91)/G91</f>
        <v>0.16746562001333309</v>
      </c>
      <c r="I91" s="43">
        <f>K91/C91</f>
        <v>68.197852269284368</v>
      </c>
      <c r="J91" s="43">
        <f>K91/F91</f>
        <v>141.41961575030052</v>
      </c>
      <c r="K91" s="41">
        <f>SUM(K86:K90)</f>
        <v>101292224.03999999</v>
      </c>
      <c r="L91" s="41">
        <f>SUM(L86:L90)</f>
        <v>85813089.639999986</v>
      </c>
      <c r="M91" s="44">
        <f>(+K91-L91)/L91</f>
        <v>0.18038197278454277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x14ac:dyDescent="0.25">
      <c r="A93" s="19" t="s">
        <v>57</v>
      </c>
      <c r="B93" s="20">
        <f>DATE(2021,7,1)</f>
        <v>44378</v>
      </c>
      <c r="C93" s="21">
        <v>70527</v>
      </c>
      <c r="D93" s="21">
        <v>61338</v>
      </c>
      <c r="E93" s="23">
        <f>(+C93-D93)/D93</f>
        <v>0.14980925364374451</v>
      </c>
      <c r="F93" s="21">
        <f>+C93-30135</f>
        <v>40392</v>
      </c>
      <c r="G93" s="21">
        <f>+D93-27914</f>
        <v>33424</v>
      </c>
      <c r="H93" s="23">
        <f>(+F93-G93)/G93</f>
        <v>0.20847295356629966</v>
      </c>
      <c r="I93" s="24">
        <f>K93/C93</f>
        <v>58.011039318275266</v>
      </c>
      <c r="J93" s="24">
        <f>K93/F93</f>
        <v>101.29096281441869</v>
      </c>
      <c r="K93" s="21">
        <v>4091344.57</v>
      </c>
      <c r="L93" s="21">
        <v>3513092.29</v>
      </c>
      <c r="M93" s="25">
        <f>(+K93-L93)/L93</f>
        <v>0.16459922833396437</v>
      </c>
      <c r="N93" s="10"/>
      <c r="R93" s="2"/>
    </row>
    <row r="94" spans="1:18" ht="15.75" x14ac:dyDescent="0.25">
      <c r="A94" s="19"/>
      <c r="B94" s="20">
        <f>DATE(2021,8,1)</f>
        <v>44409</v>
      </c>
      <c r="C94" s="21">
        <v>69916</v>
      </c>
      <c r="D94" s="21">
        <v>61855</v>
      </c>
      <c r="E94" s="23">
        <f>(+C94-D94)/D94</f>
        <v>0.13032091180987795</v>
      </c>
      <c r="F94" s="21">
        <f>+C94-30124</f>
        <v>39792</v>
      </c>
      <c r="G94" s="21">
        <f>+D94-27562</f>
        <v>34293</v>
      </c>
      <c r="H94" s="23">
        <f>(+F94-G94)/G94</f>
        <v>0.16035342489720936</v>
      </c>
      <c r="I94" s="24">
        <f>K94/C94</f>
        <v>56.214888723611196</v>
      </c>
      <c r="J94" s="24">
        <f>K94/F94</f>
        <v>98.771616405307597</v>
      </c>
      <c r="K94" s="21">
        <v>3930320.16</v>
      </c>
      <c r="L94" s="21">
        <v>3548299.04</v>
      </c>
      <c r="M94" s="25">
        <f>(+K94-L94)/L94</f>
        <v>0.10766316922375294</v>
      </c>
      <c r="N94" s="10"/>
      <c r="R94" s="2"/>
    </row>
    <row r="95" spans="1:18" ht="15.75" x14ac:dyDescent="0.25">
      <c r="A95" s="19"/>
      <c r="B95" s="20">
        <f>DATE(2021,9,1)</f>
        <v>44440</v>
      </c>
      <c r="C95" s="21">
        <v>66900</v>
      </c>
      <c r="D95" s="21">
        <v>58255</v>
      </c>
      <c r="E95" s="23">
        <f>(+C95-D95)/D95</f>
        <v>0.14839927903184277</v>
      </c>
      <c r="F95" s="21">
        <f>+C95-28690</f>
        <v>38210</v>
      </c>
      <c r="G95" s="21">
        <f>+D95-26013</f>
        <v>32242</v>
      </c>
      <c r="H95" s="23">
        <f>(+F95-G95)/G95</f>
        <v>0.18510017988958502</v>
      </c>
      <c r="I95" s="24">
        <f>K95/C95</f>
        <v>54.345169955156955</v>
      </c>
      <c r="J95" s="24">
        <f>K95/F95</f>
        <v>95.150271394922797</v>
      </c>
      <c r="K95" s="21">
        <v>3635691.87</v>
      </c>
      <c r="L95" s="21">
        <v>3207756.78</v>
      </c>
      <c r="M95" s="25">
        <f>(+K95-L95)/L95</f>
        <v>0.13340633949186145</v>
      </c>
      <c r="N95" s="10"/>
      <c r="R95" s="2"/>
    </row>
    <row r="96" spans="1:18" ht="15.75" x14ac:dyDescent="0.25">
      <c r="A96" s="19"/>
      <c r="B96" s="20">
        <f>DATE(2021,10,1)</f>
        <v>44470</v>
      </c>
      <c r="C96" s="21">
        <v>71041</v>
      </c>
      <c r="D96" s="21">
        <v>55328</v>
      </c>
      <c r="E96" s="23">
        <f>(+C96-D96)/D96</f>
        <v>0.28399725274725274</v>
      </c>
      <c r="F96" s="21">
        <f>+C96-30775</f>
        <v>40266</v>
      </c>
      <c r="G96" s="21">
        <f>+D96-22799</f>
        <v>32529</v>
      </c>
      <c r="H96" s="23">
        <f>(+F96-G96)/G96</f>
        <v>0.23784930369823851</v>
      </c>
      <c r="I96" s="24">
        <f>K96/C96</f>
        <v>58.034915893638882</v>
      </c>
      <c r="J96" s="24">
        <f>K96/F96</f>
        <v>102.39056424775245</v>
      </c>
      <c r="K96" s="21">
        <v>4122858.46</v>
      </c>
      <c r="L96" s="21">
        <v>2898446.12</v>
      </c>
      <c r="M96" s="25">
        <f>(+K96-L96)/L96</f>
        <v>0.42243750247805184</v>
      </c>
      <c r="N96" s="10"/>
      <c r="R96" s="2"/>
    </row>
    <row r="97" spans="1:18" ht="15.75" thickBot="1" x14ac:dyDescent="0.25">
      <c r="A97" s="38"/>
      <c r="B97" s="45"/>
      <c r="C97" s="21"/>
      <c r="D97" s="21"/>
      <c r="E97" s="23"/>
      <c r="F97" s="21"/>
      <c r="G97" s="21"/>
      <c r="H97" s="23"/>
      <c r="I97" s="24"/>
      <c r="J97" s="24"/>
      <c r="K97" s="21"/>
      <c r="L97" s="21"/>
      <c r="M97" s="25"/>
      <c r="N97" s="10"/>
      <c r="R97" s="2"/>
    </row>
    <row r="98" spans="1:18" ht="17.25" thickTop="1" thickBot="1" x14ac:dyDescent="0.3">
      <c r="A98" s="26" t="s">
        <v>14</v>
      </c>
      <c r="B98" s="27"/>
      <c r="C98" s="28">
        <f>SUM(C93:C97)</f>
        <v>278384</v>
      </c>
      <c r="D98" s="28">
        <f>SUM(D93:D97)</f>
        <v>236776</v>
      </c>
      <c r="E98" s="280">
        <f>(+C98-D98)/D98</f>
        <v>0.17572726965570834</v>
      </c>
      <c r="F98" s="28">
        <f>SUM(F93:F97)</f>
        <v>158660</v>
      </c>
      <c r="G98" s="28">
        <f>SUM(G93:G97)</f>
        <v>132488</v>
      </c>
      <c r="H98" s="42">
        <f>(+F98-G98)/G98</f>
        <v>0.19754241893605459</v>
      </c>
      <c r="I98" s="43">
        <f>K98/C98</f>
        <v>56.685064730731661</v>
      </c>
      <c r="J98" s="43">
        <f>K98/F98</f>
        <v>99.459315895625878</v>
      </c>
      <c r="K98" s="28">
        <f>SUM(K93:K97)</f>
        <v>15780215.060000002</v>
      </c>
      <c r="L98" s="28">
        <f>SUM(L93:L97)</f>
        <v>13167594.23</v>
      </c>
      <c r="M98" s="44">
        <f>(+K98-L98)/L98</f>
        <v>0.19841292071771274</v>
      </c>
      <c r="N98" s="10"/>
      <c r="R98" s="2"/>
    </row>
    <row r="99" spans="1:18" ht="16.5" thickTop="1" thickBot="1" x14ac:dyDescent="0.25">
      <c r="A99" s="63"/>
      <c r="B99" s="34"/>
      <c r="C99" s="35"/>
      <c r="D99" s="35"/>
      <c r="E99" s="29"/>
      <c r="F99" s="35"/>
      <c r="G99" s="35"/>
      <c r="H99" s="29"/>
      <c r="I99" s="36"/>
      <c r="J99" s="36"/>
      <c r="K99" s="35"/>
      <c r="L99" s="35"/>
      <c r="M99" s="37"/>
      <c r="N99" s="10"/>
      <c r="R99" s="2"/>
    </row>
    <row r="100" spans="1:18" ht="17.25" thickTop="1" thickBot="1" x14ac:dyDescent="0.3">
      <c r="A100" s="64" t="s">
        <v>18</v>
      </c>
      <c r="B100" s="65"/>
      <c r="C100" s="28">
        <f>C98+C91+C42+C56+C63+C28+C14+C70+C77+C35+C84+C21+C49</f>
        <v>10371611</v>
      </c>
      <c r="D100" s="28">
        <f>D98+D91+D42+D56+D63+D28+D14+D70+D77+D35+D84+D21+D49</f>
        <v>8510647</v>
      </c>
      <c r="E100" s="279">
        <f>(+C100-D100)/D100</f>
        <v>0.21866304641703505</v>
      </c>
      <c r="F100" s="28">
        <f>F98+F91+F42+F56+F63+F28+F14+F70+F77+F35+F84+F21+F49</f>
        <v>5266843</v>
      </c>
      <c r="G100" s="28">
        <f>G98+G91+G42+G56+G63+G28+G14+G70+G77+G35+G84+G21+G49</f>
        <v>4340490</v>
      </c>
      <c r="H100" s="30">
        <f>(+F100-G100)/G100</f>
        <v>0.21342129575232288</v>
      </c>
      <c r="I100" s="31">
        <f>K100/C100</f>
        <v>61.143073287264635</v>
      </c>
      <c r="J100" s="31">
        <f>K100/F100</f>
        <v>120.40460888619616</v>
      </c>
      <c r="K100" s="28">
        <f>K98+K91+K42+K56+K63+K28+K14+K70+K77+K35+K84+K21+K49</f>
        <v>634152171.48000002</v>
      </c>
      <c r="L100" s="28">
        <f>L98+L91+L42+L56+L63+L28+L14+L70+L77+L35+L84+L21+L49</f>
        <v>526948428.77999997</v>
      </c>
      <c r="M100" s="32">
        <f>(+K100-L100)/L100</f>
        <v>0.20344257017370748</v>
      </c>
      <c r="N100" s="10"/>
      <c r="R100" s="2"/>
    </row>
    <row r="101" spans="1:18" ht="17.25" thickTop="1" thickBot="1" x14ac:dyDescent="0.3">
      <c r="A101" s="64"/>
      <c r="B101" s="65"/>
      <c r="C101" s="28"/>
      <c r="D101" s="28"/>
      <c r="E101" s="29"/>
      <c r="F101" s="28"/>
      <c r="G101" s="28"/>
      <c r="H101" s="30"/>
      <c r="I101" s="31"/>
      <c r="J101" s="31"/>
      <c r="K101" s="28"/>
      <c r="L101" s="28"/>
      <c r="M101" s="32"/>
      <c r="N101" s="10"/>
      <c r="R101" s="2"/>
    </row>
    <row r="102" spans="1:18" ht="17.25" thickTop="1" thickBot="1" x14ac:dyDescent="0.3">
      <c r="A102" s="64" t="s">
        <v>19</v>
      </c>
      <c r="B102" s="65"/>
      <c r="C102" s="28">
        <f>SUM(C12+C19+C26+C33+C40+C47+C54+C61+C68+C75+C82+C89+C96)</f>
        <v>2576841</v>
      </c>
      <c r="D102" s="28">
        <f>SUM(D12+D19+D26+D33+D40+D47+D54+D61+D68+D75+D82+D89+D96)</f>
        <v>2232719</v>
      </c>
      <c r="E102" s="279">
        <f>(+C102-D102)/D102</f>
        <v>0.154126874004297</v>
      </c>
      <c r="F102" s="28">
        <f>SUM(F12+F19+F26+F33+F40+F47+F54+F61+F68+F75+F82+F89+F96)</f>
        <v>1314282</v>
      </c>
      <c r="G102" s="28">
        <f>SUM(G12+G19+G26+G33+G40+G47+G54+G61+G68+G75+G82+G89+G96)</f>
        <v>1140112</v>
      </c>
      <c r="H102" s="30">
        <f>(+F102-G102)/G102</f>
        <v>0.15276569319505451</v>
      </c>
      <c r="I102" s="31">
        <f>K102/C102</f>
        <v>62.882928931199103</v>
      </c>
      <c r="J102" s="31">
        <f>K102/F102</f>
        <v>123.29112737601217</v>
      </c>
      <c r="K102" s="28">
        <f>SUM(K12+K19+K26+K33+K40+K47+K54+K61+K68+K75+K82+K89+K96)</f>
        <v>162039309.47000003</v>
      </c>
      <c r="L102" s="28">
        <f>SUM(L12+L19+L26+L33+L40+L47+L54+L61+L68+L75+L82+L89+L96)</f>
        <v>133797391.65000002</v>
      </c>
      <c r="M102" s="32">
        <f>(+K102-L102)/L102</f>
        <v>0.21107973385518539</v>
      </c>
      <c r="N102" s="10"/>
      <c r="R102" s="2"/>
    </row>
    <row r="103" spans="1:18" ht="15.75" thickTop="1" x14ac:dyDescent="0.2">
      <c r="A103" s="66"/>
      <c r="B103" s="67"/>
      <c r="C103" s="68"/>
      <c r="D103" s="67"/>
      <c r="E103" s="67"/>
      <c r="F103" s="67"/>
      <c r="G103" s="67"/>
      <c r="H103" s="67"/>
      <c r="I103" s="67"/>
      <c r="J103" s="67"/>
      <c r="K103" s="68"/>
      <c r="L103" s="68"/>
      <c r="M103" s="67"/>
      <c r="R103" s="2"/>
    </row>
    <row r="104" spans="1:18" ht="18.75" x14ac:dyDescent="0.3">
      <c r="A104" s="264" t="s">
        <v>20</v>
      </c>
      <c r="B104" s="70"/>
      <c r="C104" s="71"/>
      <c r="D104" s="71"/>
      <c r="E104" s="71"/>
      <c r="F104" s="71"/>
      <c r="G104" s="71"/>
      <c r="H104" s="71"/>
      <c r="I104" s="71"/>
      <c r="J104" s="71"/>
      <c r="K104" s="198"/>
      <c r="L104" s="198"/>
      <c r="M104" s="71"/>
      <c r="N104" s="2"/>
      <c r="O104" s="2"/>
      <c r="P104" s="2"/>
      <c r="Q104" s="2"/>
      <c r="R104" s="2"/>
    </row>
    <row r="105" spans="1:18" ht="18" x14ac:dyDescent="0.25">
      <c r="A105" s="69"/>
      <c r="B105" s="70"/>
      <c r="C105" s="71"/>
      <c r="D105" s="71"/>
      <c r="E105" s="71"/>
      <c r="F105" s="71"/>
      <c r="G105" s="71"/>
      <c r="H105" s="71"/>
      <c r="I105" s="71"/>
      <c r="J105" s="71"/>
      <c r="K105" s="198"/>
      <c r="L105" s="198"/>
      <c r="M105" s="71"/>
      <c r="N105" s="2"/>
      <c r="O105" s="2"/>
      <c r="P105" s="2"/>
      <c r="Q105" s="2"/>
      <c r="R105" s="2"/>
    </row>
    <row r="106" spans="1:18" ht="15.75" x14ac:dyDescent="0.25">
      <c r="A106" s="72"/>
      <c r="B106" s="73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x14ac:dyDescent="0.2">
      <c r="A107" s="2"/>
      <c r="B107" s="73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3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x14ac:dyDescent="0.2">
      <c r="A109" s="2"/>
      <c r="B109" s="73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3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3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3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73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x14ac:dyDescent="0.2">
      <c r="A114" s="2"/>
      <c r="B114" s="73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73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4"/>
      <c r="N115" s="2"/>
      <c r="O115" s="2"/>
      <c r="P115" s="2"/>
      <c r="Q115" s="2"/>
      <c r="R115" s="2"/>
    </row>
    <row r="116" spans="1:18" x14ac:dyDescent="0.2">
      <c r="A116" s="2"/>
      <c r="B116" s="73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4"/>
      <c r="N116" s="2"/>
      <c r="O116" s="2"/>
      <c r="P116" s="2"/>
      <c r="Q116" s="2"/>
      <c r="R116" s="2"/>
    </row>
    <row r="117" spans="1:18" x14ac:dyDescent="0.2">
      <c r="A117" s="2"/>
      <c r="B117" s="70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4"/>
      <c r="N117" s="2"/>
      <c r="O117" s="2"/>
      <c r="P117" s="2"/>
      <c r="Q117" s="2"/>
      <c r="R117" s="2"/>
    </row>
    <row r="118" spans="1:18" ht="15.75" x14ac:dyDescent="0.25">
      <c r="A118" s="76"/>
      <c r="B118" s="70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ht="15.75" x14ac:dyDescent="0.25">
      <c r="A119" s="76"/>
      <c r="B119" s="70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ht="15.75" x14ac:dyDescent="0.25">
      <c r="A120" s="76"/>
      <c r="B120" s="70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70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ht="15.75" x14ac:dyDescent="0.25">
      <c r="A122" s="76"/>
      <c r="B122" s="73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73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73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77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x14ac:dyDescent="0.2">
      <c r="A126" s="2"/>
      <c r="B126" s="77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77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7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77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77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77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77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77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2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ht="15.75" x14ac:dyDescent="0.25">
      <c r="A135" s="76"/>
      <c r="B135" s="2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2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2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ht="15.75" x14ac:dyDescent="0.25">
      <c r="A138" s="76"/>
      <c r="B138" s="2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ht="15.75" x14ac:dyDescent="0.25">
      <c r="A139" s="76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ht="15.75" x14ac:dyDescent="0.25">
      <c r="A140" s="76"/>
      <c r="B140" s="77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77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77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77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77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77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77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77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77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x14ac:dyDescent="0.2">
      <c r="A152" s="2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ht="15.75" x14ac:dyDescent="0.25">
      <c r="A153" s="76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ht="15.75" x14ac:dyDescent="0.25">
      <c r="A156" s="76"/>
      <c r="B156" s="77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77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77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ht="15.75" x14ac:dyDescent="0.25">
      <c r="A162" s="76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ht="15.75" x14ac:dyDescent="0.25">
      <c r="A165" s="76"/>
      <c r="B165" s="76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49" max="12" man="1"/>
    <brk id="9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64</v>
      </c>
      <c r="E7" s="275" t="s">
        <v>56</v>
      </c>
      <c r="F7" s="84" t="s">
        <v>62</v>
      </c>
      <c r="G7" s="84" t="s">
        <v>65</v>
      </c>
      <c r="H7" s="84" t="s">
        <v>71</v>
      </c>
      <c r="I7" s="84" t="s">
        <v>52</v>
      </c>
      <c r="J7" s="84" t="s">
        <v>25</v>
      </c>
      <c r="K7" s="84" t="s">
        <v>53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DATE(2021,7,1)</f>
        <v>44378</v>
      </c>
      <c r="B10" s="89">
        <f>'MONTHLY STATS'!$C$9*2</f>
        <v>465606</v>
      </c>
      <c r="C10" s="89">
        <f>'MONTHLY STATS'!$C$16*2</f>
        <v>232214</v>
      </c>
      <c r="D10" s="89">
        <f>'MONTHLY STATS'!$C$23*2</f>
        <v>133674</v>
      </c>
      <c r="E10" s="89">
        <f>'MONTHLY STATS'!$C$30*2</f>
        <v>674450</v>
      </c>
      <c r="F10" s="89">
        <f>'MONTHLY STATS'!$C$37*2</f>
        <v>512458</v>
      </c>
      <c r="G10" s="89">
        <f>'MONTHLY STATS'!$C$44*2</f>
        <v>208586</v>
      </c>
      <c r="H10" s="89">
        <f>'MONTHLY STATS'!$C$51*2</f>
        <v>449386</v>
      </c>
      <c r="I10" s="89">
        <f>'MONTHLY STATS'!$C$58*2</f>
        <v>502180</v>
      </c>
      <c r="J10" s="89">
        <f>'MONTHLY STATS'!$C$65*2</f>
        <v>585252</v>
      </c>
      <c r="K10" s="89">
        <f>'MONTHLY STATS'!$C$72*2</f>
        <v>677802</v>
      </c>
      <c r="L10" s="89">
        <f>'MONTHLY STATS'!$C$79*2</f>
        <v>109046</v>
      </c>
      <c r="M10" s="89">
        <f>'MONTHLY STATS'!$C$86*2</f>
        <v>790810</v>
      </c>
      <c r="N10" s="89">
        <f>'MONTHLY STATS'!$C$93*2</f>
        <v>141054</v>
      </c>
      <c r="O10" s="90">
        <f>SUM(B10:N10)</f>
        <v>5482518</v>
      </c>
      <c r="P10" s="83"/>
    </row>
    <row r="11" spans="1:16" ht="15.75" x14ac:dyDescent="0.25">
      <c r="A11" s="88">
        <f>DATE(2021,8,1)</f>
        <v>44409</v>
      </c>
      <c r="B11" s="89">
        <f>'MONTHLY STATS'!$C$10*2</f>
        <v>450908</v>
      </c>
      <c r="C11" s="89">
        <f>'MONTHLY STATS'!$C$17*2</f>
        <v>206706</v>
      </c>
      <c r="D11" s="89">
        <f>'MONTHLY STATS'!$C$24*2</f>
        <v>112224</v>
      </c>
      <c r="E11" s="89">
        <f>'MONTHLY STATS'!$C$31*2</f>
        <v>604600</v>
      </c>
      <c r="F11" s="89">
        <f>'MONTHLY STATS'!$C$38*2</f>
        <v>465706</v>
      </c>
      <c r="G11" s="89">
        <f>'MONTHLY STATS'!$C$45*2</f>
        <v>186244</v>
      </c>
      <c r="H11" s="89">
        <f>'MONTHLY STATS'!$C$52*2</f>
        <v>507374</v>
      </c>
      <c r="I11" s="89">
        <f>'MONTHLY STATS'!$C$59*2</f>
        <v>430958</v>
      </c>
      <c r="J11" s="89">
        <f>'MONTHLY STATS'!$C$66*2</f>
        <v>505624</v>
      </c>
      <c r="K11" s="89">
        <f>'MONTHLY STATS'!$C$73*2</f>
        <v>631006</v>
      </c>
      <c r="L11" s="89">
        <f>'MONTHLY STATS'!$C$80*2</f>
        <v>95368</v>
      </c>
      <c r="M11" s="89">
        <f>'MONTHLY STATS'!$C$87*2</f>
        <v>743268</v>
      </c>
      <c r="N11" s="89">
        <f>'MONTHLY STATS'!$C$94*2</f>
        <v>139832</v>
      </c>
      <c r="O11" s="90">
        <f>SUM(B11:N11)</f>
        <v>5079818</v>
      </c>
      <c r="P11" s="83"/>
    </row>
    <row r="12" spans="1:16" ht="15.75" x14ac:dyDescent="0.25">
      <c r="A12" s="88">
        <f>DATE(2021,9,1)</f>
        <v>44440</v>
      </c>
      <c r="B12" s="89">
        <f>'MONTHLY STATS'!$C$11*2</f>
        <v>412100</v>
      </c>
      <c r="C12" s="89">
        <f>'MONTHLY STATS'!$C$18*2</f>
        <v>207192</v>
      </c>
      <c r="D12" s="89">
        <f>'MONTHLY STATS'!$C$25*2</f>
        <v>116168</v>
      </c>
      <c r="E12" s="89">
        <f>'MONTHLY STATS'!$C$32*2</f>
        <v>672284</v>
      </c>
      <c r="F12" s="89">
        <f>'MONTHLY STATS'!$C$39*2</f>
        <v>448838</v>
      </c>
      <c r="G12" s="89">
        <f>'MONTHLY STATS'!$C$46*2</f>
        <v>184408</v>
      </c>
      <c r="H12" s="89">
        <f>'MONTHLY STATS'!$C$53*2</f>
        <v>471842</v>
      </c>
      <c r="I12" s="89">
        <f>'MONTHLY STATS'!$C$60*2</f>
        <v>427862</v>
      </c>
      <c r="J12" s="89">
        <f>'MONTHLY STATS'!$C$67*2</f>
        <v>491984</v>
      </c>
      <c r="K12" s="89">
        <f>'MONTHLY STATS'!$C$74*2</f>
        <v>658594</v>
      </c>
      <c r="L12" s="89">
        <f>'MONTHLY STATS'!$C$81*2</f>
        <v>94578</v>
      </c>
      <c r="M12" s="89">
        <f>'MONTHLY STATS'!$C$88*2</f>
        <v>707554</v>
      </c>
      <c r="N12" s="89">
        <f>'MONTHLY STATS'!$C$95*2</f>
        <v>133800</v>
      </c>
      <c r="O12" s="90">
        <f>SUM(B12:N12)</f>
        <v>5027204</v>
      </c>
      <c r="P12" s="83"/>
    </row>
    <row r="13" spans="1:16" ht="15.75" x14ac:dyDescent="0.25">
      <c r="A13" s="88">
        <f>DATE(2021,10,1)</f>
        <v>44470</v>
      </c>
      <c r="B13" s="89">
        <f>'MONTHLY STATS'!$C$12*2</f>
        <v>439076</v>
      </c>
      <c r="C13" s="89">
        <f>'MONTHLY STATS'!$C$19*2</f>
        <v>220158</v>
      </c>
      <c r="D13" s="89">
        <f>'MONTHLY STATS'!$C$26*2</f>
        <v>115720</v>
      </c>
      <c r="E13" s="89">
        <f>'MONTHLY STATS'!$C$33*2</f>
        <v>667614</v>
      </c>
      <c r="F13" s="89">
        <f>'MONTHLY STATS'!$C$40*2</f>
        <v>463784</v>
      </c>
      <c r="G13" s="89">
        <f>'MONTHLY STATS'!$C$47*2</f>
        <v>186650</v>
      </c>
      <c r="H13" s="89">
        <f>'MONTHLY STATS'!$C$54*2</f>
        <v>443600</v>
      </c>
      <c r="I13" s="89">
        <f>'MONTHLY STATS'!$C$61*2</f>
        <v>425830</v>
      </c>
      <c r="J13" s="89">
        <f>'MONTHLY STATS'!$C$68*2</f>
        <v>531886</v>
      </c>
      <c r="K13" s="89">
        <f>'MONTHLY STATS'!$C$75*2</f>
        <v>686336</v>
      </c>
      <c r="L13" s="89">
        <f>'MONTHLY STATS'!$C$82*2</f>
        <v>102038</v>
      </c>
      <c r="M13" s="89">
        <f>'MONTHLY STATS'!$C$89*2</f>
        <v>728908</v>
      </c>
      <c r="N13" s="89">
        <f>'MONTHLY STATS'!$C$96*2</f>
        <v>142082</v>
      </c>
      <c r="O13" s="90">
        <f>SUM(B13:N13)</f>
        <v>5153682</v>
      </c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1767690</v>
      </c>
      <c r="C23" s="90">
        <f t="shared" si="0"/>
        <v>866270</v>
      </c>
      <c r="D23" s="90">
        <f t="shared" si="0"/>
        <v>477786</v>
      </c>
      <c r="E23" s="90">
        <f t="shared" si="0"/>
        <v>2618948</v>
      </c>
      <c r="F23" s="90">
        <f t="shared" si="0"/>
        <v>1890786</v>
      </c>
      <c r="G23" s="90">
        <f>SUM(G10:G21)</f>
        <v>765888</v>
      </c>
      <c r="H23" s="90">
        <f t="shared" si="0"/>
        <v>1872202</v>
      </c>
      <c r="I23" s="90">
        <f>SUM(I10:I21)</f>
        <v>1786830</v>
      </c>
      <c r="J23" s="90">
        <f t="shared" si="0"/>
        <v>2114746</v>
      </c>
      <c r="K23" s="90">
        <f>SUM(K10:K21)</f>
        <v>2653738</v>
      </c>
      <c r="L23" s="90">
        <f t="shared" si="0"/>
        <v>401030</v>
      </c>
      <c r="M23" s="90">
        <f t="shared" si="0"/>
        <v>2970540</v>
      </c>
      <c r="N23" s="90">
        <f t="shared" si="0"/>
        <v>556768</v>
      </c>
      <c r="O23" s="90">
        <f t="shared" si="0"/>
        <v>20743222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64</v>
      </c>
      <c r="E28" s="275" t="s">
        <v>56</v>
      </c>
      <c r="F28" s="84" t="s">
        <v>62</v>
      </c>
      <c r="G28" s="84" t="s">
        <v>65</v>
      </c>
      <c r="H28" s="84" t="s">
        <v>71</v>
      </c>
      <c r="I28" s="84" t="s">
        <v>52</v>
      </c>
      <c r="J28" s="84" t="s">
        <v>25</v>
      </c>
      <c r="K28" s="106" t="s">
        <v>53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DATE(2021,7,1)</f>
        <v>44378</v>
      </c>
      <c r="B31" s="89">
        <f>'MONTHLY STATS'!$K$9*0.21</f>
        <v>3347290.5080999997</v>
      </c>
      <c r="C31" s="89">
        <f>'MONTHLY STATS'!$K$16*0.21</f>
        <v>1692376.4865000001</v>
      </c>
      <c r="D31" s="89">
        <f>'MONTHLY STATS'!$K$23*0.21</f>
        <v>966002.71950000001</v>
      </c>
      <c r="E31" s="89">
        <f>'MONTHLY STATS'!$K$30*0.21</f>
        <v>4051465.2297</v>
      </c>
      <c r="F31" s="89">
        <f>'MONTHLY STATS'!$K$37*0.21</f>
        <v>3404376.3956999998</v>
      </c>
      <c r="G31" s="89">
        <f>'MONTHLY STATS'!$K$44*0.21</f>
        <v>1359356.1113999998</v>
      </c>
      <c r="H31" s="89">
        <f>'MONTHLY STATS'!$K$51*0.21</f>
        <v>1998001.6497</v>
      </c>
      <c r="I31" s="89">
        <f>'MONTHLY STATS'!$K$58*0.21</f>
        <v>3112641.8021999998</v>
      </c>
      <c r="J31" s="89">
        <f>'MONTHLY STATS'!$K$65*0.21</f>
        <v>3802869.9155999999</v>
      </c>
      <c r="K31" s="89">
        <f>'MONTHLY STATS'!$K$72*0.21</f>
        <v>4229164.4597999994</v>
      </c>
      <c r="L31" s="89">
        <f>'MONTHLY STATS'!$K$79*0.21</f>
        <v>763729.81019999995</v>
      </c>
      <c r="M31" s="89">
        <f>'MONTHLY STATS'!$K$86*0.21</f>
        <v>5560718.5472999997</v>
      </c>
      <c r="N31" s="89">
        <f>'MONTHLY STATS'!$K$93*0.21</f>
        <v>859182.35969999991</v>
      </c>
      <c r="O31" s="90">
        <f>SUM(B31:N31)</f>
        <v>35147175.995400004</v>
      </c>
      <c r="P31" s="83"/>
    </row>
    <row r="32" spans="1:16" ht="15.75" x14ac:dyDescent="0.25">
      <c r="A32" s="88">
        <f>DATE(2021,8,1)</f>
        <v>44409</v>
      </c>
      <c r="B32" s="89">
        <f>'MONTHLY STATS'!$K$10*0.21</f>
        <v>3166085.3951999997</v>
      </c>
      <c r="C32" s="89">
        <f>'MONTHLY STATS'!$K$17*0.21</f>
        <v>1509930.7881</v>
      </c>
      <c r="D32" s="89">
        <f>'MONTHLY STATS'!$K$24*0.21</f>
        <v>806000.47290000005</v>
      </c>
      <c r="E32" s="89">
        <f>'MONTHLY STATS'!$K$31*0.21</f>
        <v>3699418.1552999998</v>
      </c>
      <c r="F32" s="89">
        <f>'MONTHLY STATS'!$K$38*0.21</f>
        <v>2811660.0855</v>
      </c>
      <c r="G32" s="89">
        <f>'MONTHLY STATS'!$K$45*0.21</f>
        <v>1231968.5007</v>
      </c>
      <c r="H32" s="89">
        <f>'MONTHLY STATS'!$K$52*0.21</f>
        <v>1988771.3873999999</v>
      </c>
      <c r="I32" s="89">
        <f>'MONTHLY STATS'!$K$59*0.21</f>
        <v>2755751.5986000001</v>
      </c>
      <c r="J32" s="89">
        <f>'MONTHLY STATS'!$K$66*0.21</f>
        <v>3419526.1169999996</v>
      </c>
      <c r="K32" s="89">
        <f>'MONTHLY STATS'!$K$73*0.21</f>
        <v>4030922.8196999999</v>
      </c>
      <c r="L32" s="89">
        <f>'MONTHLY STATS'!$K$80*0.21</f>
        <v>677192.16389999993</v>
      </c>
      <c r="M32" s="89">
        <f>'MONTHLY STATS'!$K$87*0.21</f>
        <v>5128975.6055999994</v>
      </c>
      <c r="N32" s="89">
        <f>'MONTHLY STATS'!$K$94*0.21</f>
        <v>825367.23360000004</v>
      </c>
      <c r="O32" s="90">
        <f>SUM(B32:N32)</f>
        <v>32051570.323499996</v>
      </c>
      <c r="P32" s="83"/>
    </row>
    <row r="33" spans="1:16" ht="15.75" x14ac:dyDescent="0.25">
      <c r="A33" s="88">
        <f>DATE(2021,9,1)</f>
        <v>44440</v>
      </c>
      <c r="B33" s="89">
        <f>'MONTHLY STATS'!$K$11*0.21</f>
        <v>2914050.8711999999</v>
      </c>
      <c r="C33" s="89">
        <f>'MONTHLY STATS'!$K$18*0.21</f>
        <v>1602237.4431</v>
      </c>
      <c r="D33" s="89">
        <f>'MONTHLY STATS'!$K$25*0.21</f>
        <v>858189.42090000003</v>
      </c>
      <c r="E33" s="89">
        <f>'MONTHLY STATS'!$K$32*0.21</f>
        <v>4071781.6902000001</v>
      </c>
      <c r="F33" s="89">
        <f>'MONTHLY STATS'!$K$39*0.21</f>
        <v>3042866.5427999999</v>
      </c>
      <c r="G33" s="89">
        <f>'MONTHLY STATS'!$K$46*0.21</f>
        <v>1257725.1036</v>
      </c>
      <c r="H33" s="89">
        <f>'MONTHLY STATS'!$K$53*0.21</f>
        <v>2110648.4133000001</v>
      </c>
      <c r="I33" s="89">
        <f>'MONTHLY STATS'!$K$60*0.21</f>
        <v>2545471.0763999997</v>
      </c>
      <c r="J33" s="89">
        <f>'MONTHLY STATS'!$K$67*0.21</f>
        <v>3038934.9794999999</v>
      </c>
      <c r="K33" s="89">
        <f>'MONTHLY STATS'!$K$74*0.21</f>
        <v>4090020.0474</v>
      </c>
      <c r="L33" s="89">
        <f>'MONTHLY STATS'!$K$81*0.21</f>
        <v>660366.03149999992</v>
      </c>
      <c r="M33" s="89">
        <f>'MONTHLY STATS'!$K$88*0.21</f>
        <v>4989167.7905999999</v>
      </c>
      <c r="N33" s="89">
        <f>'MONTHLY STATS'!$K$95*0.21</f>
        <v>763495.29269999999</v>
      </c>
      <c r="O33" s="90">
        <f>SUM(B33:N33)</f>
        <v>31944954.703200005</v>
      </c>
      <c r="P33" s="83"/>
    </row>
    <row r="34" spans="1:16" ht="15.75" x14ac:dyDescent="0.25">
      <c r="A34" s="88">
        <f>DATE(2021,10,1)</f>
        <v>44470</v>
      </c>
      <c r="B34" s="89">
        <f>'MONTHLY STATS'!$K$12*0.21</f>
        <v>3202042.3911000001</v>
      </c>
      <c r="C34" s="89">
        <f>'MONTHLY STATS'!$K$19*0.21</f>
        <v>1646199.1895999999</v>
      </c>
      <c r="D34" s="89">
        <f>'MONTHLY STATS'!$K$26*0.21</f>
        <v>861622.56809999992</v>
      </c>
      <c r="E34" s="89">
        <f>'MONTHLY STATS'!$K$33*0.21</f>
        <v>4026629.2458000001</v>
      </c>
      <c r="F34" s="89">
        <f>'MONTHLY STATS'!$K$40*0.21</f>
        <v>3131092.1816999996</v>
      </c>
      <c r="G34" s="89">
        <f>'MONTHLY STATS'!$K$47*0.21</f>
        <v>1210593.4700999998</v>
      </c>
      <c r="H34" s="89">
        <f>'MONTHLY STATS'!$K$54*0.21</f>
        <v>2183798.0156999999</v>
      </c>
      <c r="I34" s="89">
        <f>'MONTHLY STATS'!$K$61*0.21</f>
        <v>2694564.7301999996</v>
      </c>
      <c r="J34" s="89">
        <f>'MONTHLY STATS'!$K$68*0.21</f>
        <v>3463632.4316999996</v>
      </c>
      <c r="K34" s="89">
        <f>'MONTHLY STATS'!$K$75*0.21</f>
        <v>4415796.3128999993</v>
      </c>
      <c r="L34" s="89">
        <f>'MONTHLY STATS'!$K$82*0.21</f>
        <v>733979.07030000002</v>
      </c>
      <c r="M34" s="89">
        <f>'MONTHLY STATS'!$K$89*0.21</f>
        <v>5592505.1048999997</v>
      </c>
      <c r="N34" s="89">
        <f>'MONTHLY STATS'!$K$96*0.21</f>
        <v>865800.27659999998</v>
      </c>
      <c r="O34" s="90">
        <f>SUM(B34:N34)</f>
        <v>34028254.988699995</v>
      </c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12629469.1656</v>
      </c>
      <c r="C44" s="90">
        <f t="shared" si="1"/>
        <v>6450743.9073000001</v>
      </c>
      <c r="D44" s="90">
        <f t="shared" si="1"/>
        <v>3491815.1814000001</v>
      </c>
      <c r="E44" s="90">
        <f t="shared" si="1"/>
        <v>15849294.320999999</v>
      </c>
      <c r="F44" s="90">
        <f t="shared" si="1"/>
        <v>12389995.205699999</v>
      </c>
      <c r="G44" s="90">
        <f t="shared" si="1"/>
        <v>5059643.1857999992</v>
      </c>
      <c r="H44" s="90">
        <f t="shared" si="1"/>
        <v>8281219.4660999998</v>
      </c>
      <c r="I44" s="90">
        <f>SUM(I31:I42)</f>
        <v>11108429.2074</v>
      </c>
      <c r="J44" s="90">
        <f t="shared" si="1"/>
        <v>13724963.443799999</v>
      </c>
      <c r="K44" s="90">
        <f>SUM(K31:K42)</f>
        <v>16765903.639799999</v>
      </c>
      <c r="L44" s="90">
        <f t="shared" si="1"/>
        <v>2835267.0758999996</v>
      </c>
      <c r="M44" s="90">
        <f t="shared" si="1"/>
        <v>21271367.0484</v>
      </c>
      <c r="N44" s="90">
        <f t="shared" si="1"/>
        <v>3313845.1625999999</v>
      </c>
      <c r="O44" s="90">
        <f t="shared" si="1"/>
        <v>133171956.0108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6"/>
  <sheetViews>
    <sheetView showOutlineSymbols="0" view="pageBreakPreview" zoomScale="60" zoomScaleNormal="100" workbookViewId="0">
      <selection activeCell="K93" sqref="K93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DATE(2021,7,1)</f>
        <v>44378</v>
      </c>
      <c r="C9" s="204">
        <v>13122165.060000001</v>
      </c>
      <c r="D9" s="204">
        <v>2401856.06</v>
      </c>
      <c r="E9" s="204">
        <v>1959351.91</v>
      </c>
      <c r="F9" s="132">
        <f>(+D9-E9)/E9</f>
        <v>0.22584210000336294</v>
      </c>
      <c r="G9" s="215">
        <f>D9/C9</f>
        <v>0.18303809234358159</v>
      </c>
      <c r="H9" s="123"/>
    </row>
    <row r="10" spans="1:8" ht="15.75" x14ac:dyDescent="0.25">
      <c r="A10" s="130"/>
      <c r="B10" s="131">
        <f>DATE(2021,8,1)</f>
        <v>44409</v>
      </c>
      <c r="C10" s="204">
        <v>12766088.5</v>
      </c>
      <c r="D10" s="204">
        <v>2504601.5</v>
      </c>
      <c r="E10" s="204">
        <v>1563543</v>
      </c>
      <c r="F10" s="132">
        <f>(+D10-E10)/E10</f>
        <v>0.60187567594879066</v>
      </c>
      <c r="G10" s="215">
        <f>D10/C10</f>
        <v>0.19619177009465349</v>
      </c>
      <c r="H10" s="123"/>
    </row>
    <row r="11" spans="1:8" ht="15.75" x14ac:dyDescent="0.25">
      <c r="A11" s="130"/>
      <c r="B11" s="131">
        <f>DATE(2021,9,1)</f>
        <v>44440</v>
      </c>
      <c r="C11" s="204">
        <v>12839885</v>
      </c>
      <c r="D11" s="204">
        <v>1944156.5</v>
      </c>
      <c r="E11" s="204">
        <v>1378249</v>
      </c>
      <c r="F11" s="132">
        <f>(+D11-E11)/E11</f>
        <v>0.41059888307555459</v>
      </c>
      <c r="G11" s="215">
        <f>D11/C11</f>
        <v>0.15141541376733514</v>
      </c>
      <c r="H11" s="123"/>
    </row>
    <row r="12" spans="1:8" ht="15.75" x14ac:dyDescent="0.25">
      <c r="A12" s="130"/>
      <c r="B12" s="131">
        <f>DATE(2021,10,1)</f>
        <v>44470</v>
      </c>
      <c r="C12" s="204">
        <v>12492840</v>
      </c>
      <c r="D12" s="204">
        <v>2656668</v>
      </c>
      <c r="E12" s="204">
        <v>1495832.5</v>
      </c>
      <c r="F12" s="132">
        <f>(+D12-E12)/E12</f>
        <v>0.77604644905094655</v>
      </c>
      <c r="G12" s="215">
        <f>D12/C12</f>
        <v>0.21265524892658516</v>
      </c>
      <c r="H12" s="123"/>
    </row>
    <row r="13" spans="1:8" ht="15.75" thickBot="1" x14ac:dyDescent="0.25">
      <c r="A13" s="133"/>
      <c r="B13" s="134"/>
      <c r="C13" s="204"/>
      <c r="D13" s="204"/>
      <c r="E13" s="204"/>
      <c r="F13" s="132"/>
      <c r="G13" s="215"/>
      <c r="H13" s="123"/>
    </row>
    <row r="14" spans="1:8" ht="17.25" thickTop="1" thickBot="1" x14ac:dyDescent="0.3">
      <c r="A14" s="135" t="s">
        <v>14</v>
      </c>
      <c r="B14" s="136"/>
      <c r="C14" s="201">
        <f>SUM(C9:C13)</f>
        <v>51220978.560000002</v>
      </c>
      <c r="D14" s="201">
        <f>SUM(D9:D13)</f>
        <v>9507282.0600000005</v>
      </c>
      <c r="E14" s="201">
        <f>SUM(E9:E13)</f>
        <v>6396976.4100000001</v>
      </c>
      <c r="F14" s="137">
        <f>(+D14-E14)/E14</f>
        <v>0.48621496323448227</v>
      </c>
      <c r="G14" s="212">
        <f>D14/C14</f>
        <v>0.18561305010725668</v>
      </c>
      <c r="H14" s="123"/>
    </row>
    <row r="15" spans="1:8" ht="15.75" customHeight="1" thickTop="1" x14ac:dyDescent="0.25">
      <c r="A15" s="138"/>
      <c r="B15" s="139"/>
      <c r="C15" s="205"/>
      <c r="D15" s="205"/>
      <c r="E15" s="205"/>
      <c r="F15" s="140"/>
      <c r="G15" s="216"/>
      <c r="H15" s="123"/>
    </row>
    <row r="16" spans="1:8" ht="15.75" x14ac:dyDescent="0.25">
      <c r="A16" s="19" t="s">
        <v>15</v>
      </c>
      <c r="B16" s="131">
        <f>DATE(2021,7,1)</f>
        <v>44378</v>
      </c>
      <c r="C16" s="204">
        <v>2659715</v>
      </c>
      <c r="D16" s="204">
        <v>753311.5</v>
      </c>
      <c r="E16" s="204">
        <v>547209</v>
      </c>
      <c r="F16" s="132">
        <f>(+D16-E16)/E16</f>
        <v>0.37664311076754953</v>
      </c>
      <c r="G16" s="215">
        <f>D16/C16</f>
        <v>0.28323015811844504</v>
      </c>
      <c r="H16" s="123"/>
    </row>
    <row r="17" spans="1:8" ht="15.75" x14ac:dyDescent="0.25">
      <c r="A17" s="19"/>
      <c r="B17" s="131">
        <f>DATE(2021,8,1)</f>
        <v>44409</v>
      </c>
      <c r="C17" s="204">
        <v>2802417</v>
      </c>
      <c r="D17" s="204">
        <v>615974.5</v>
      </c>
      <c r="E17" s="204">
        <v>526001.5</v>
      </c>
      <c r="F17" s="132">
        <f>(+D17-E17)/E17</f>
        <v>0.17105084301090395</v>
      </c>
      <c r="G17" s="215">
        <f>D17/C17</f>
        <v>0.21980115735809483</v>
      </c>
      <c r="H17" s="123"/>
    </row>
    <row r="18" spans="1:8" ht="15.75" x14ac:dyDescent="0.25">
      <c r="A18" s="19"/>
      <c r="B18" s="131">
        <f>DATE(2021,9,1)</f>
        <v>44440</v>
      </c>
      <c r="C18" s="204">
        <v>2513978</v>
      </c>
      <c r="D18" s="204">
        <v>858656</v>
      </c>
      <c r="E18" s="204">
        <v>401819.5</v>
      </c>
      <c r="F18" s="132">
        <f>(+D18-E18)/E18</f>
        <v>1.1369196865756888</v>
      </c>
      <c r="G18" s="215">
        <f>D18/C18</f>
        <v>0.34155271048513552</v>
      </c>
      <c r="H18" s="123"/>
    </row>
    <row r="19" spans="1:8" ht="15.75" x14ac:dyDescent="0.25">
      <c r="A19" s="19"/>
      <c r="B19" s="131">
        <f>DATE(2021,10,1)</f>
        <v>44470</v>
      </c>
      <c r="C19" s="204">
        <v>2807049</v>
      </c>
      <c r="D19" s="204">
        <v>649914</v>
      </c>
      <c r="E19" s="204">
        <v>612154.5</v>
      </c>
      <c r="F19" s="132">
        <f>(+D19-E19)/E19</f>
        <v>6.1682957488673203E-2</v>
      </c>
      <c r="G19" s="215">
        <f>D19/C19</f>
        <v>0.23152926792514131</v>
      </c>
      <c r="H19" s="123"/>
    </row>
    <row r="20" spans="1:8" ht="15.75" thickBot="1" x14ac:dyDescent="0.25">
      <c r="A20" s="133"/>
      <c r="B20" s="131"/>
      <c r="C20" s="204"/>
      <c r="D20" s="204"/>
      <c r="E20" s="204"/>
      <c r="F20" s="132"/>
      <c r="G20" s="215"/>
      <c r="H20" s="123"/>
    </row>
    <row r="21" spans="1:8" ht="17.25" thickTop="1" thickBot="1" x14ac:dyDescent="0.3">
      <c r="A21" s="135" t="s">
        <v>14</v>
      </c>
      <c r="B21" s="136"/>
      <c r="C21" s="201">
        <f>SUM(C16:C20)</f>
        <v>10783159</v>
      </c>
      <c r="D21" s="201">
        <f>SUM(D16:D20)</f>
        <v>2877856</v>
      </c>
      <c r="E21" s="201">
        <f>SUM(E16:E20)</f>
        <v>2087184.5</v>
      </c>
      <c r="F21" s="137">
        <f>(+D21-E21)/E21</f>
        <v>0.37882204472101055</v>
      </c>
      <c r="G21" s="212">
        <f>D21/C21</f>
        <v>0.26688431469850349</v>
      </c>
      <c r="H21" s="123"/>
    </row>
    <row r="22" spans="1:8" ht="15.75" customHeight="1" thickTop="1" x14ac:dyDescent="0.25">
      <c r="A22" s="255"/>
      <c r="B22" s="139"/>
      <c r="C22" s="205"/>
      <c r="D22" s="205"/>
      <c r="E22" s="205"/>
      <c r="F22" s="140"/>
      <c r="G22" s="219"/>
      <c r="H22" s="123"/>
    </row>
    <row r="23" spans="1:8" ht="15.75" x14ac:dyDescent="0.25">
      <c r="A23" s="19" t="s">
        <v>64</v>
      </c>
      <c r="B23" s="131">
        <f>DATE(2021,7,1)</f>
        <v>44378</v>
      </c>
      <c r="C23" s="204">
        <v>1594658</v>
      </c>
      <c r="D23" s="204">
        <v>420154</v>
      </c>
      <c r="E23" s="204">
        <v>362069</v>
      </c>
      <c r="F23" s="132">
        <f>(+D23-E23)/E23</f>
        <v>0.16042522281664545</v>
      </c>
      <c r="G23" s="215">
        <f>D23/C23</f>
        <v>0.26347593026216282</v>
      </c>
      <c r="H23" s="123"/>
    </row>
    <row r="24" spans="1:8" ht="15.75" x14ac:dyDescent="0.25">
      <c r="A24" s="19"/>
      <c r="B24" s="131">
        <f>DATE(2021,8,1)</f>
        <v>44409</v>
      </c>
      <c r="C24" s="204">
        <v>1384308</v>
      </c>
      <c r="D24" s="204">
        <v>283741.5</v>
      </c>
      <c r="E24" s="204">
        <v>264520</v>
      </c>
      <c r="F24" s="132">
        <f>(+D24-E24)/E24</f>
        <v>7.2665582942688642E-2</v>
      </c>
      <c r="G24" s="215">
        <f>D24/C24</f>
        <v>0.20496991998890421</v>
      </c>
      <c r="H24" s="123"/>
    </row>
    <row r="25" spans="1:8" ht="15.75" x14ac:dyDescent="0.25">
      <c r="A25" s="19"/>
      <c r="B25" s="131">
        <f>DATE(2021,9,1)</f>
        <v>44440</v>
      </c>
      <c r="C25" s="204">
        <v>1364005</v>
      </c>
      <c r="D25" s="204">
        <v>271461</v>
      </c>
      <c r="E25" s="204">
        <v>282126.5</v>
      </c>
      <c r="F25" s="132">
        <f>(+D25-E25)/E25</f>
        <v>-3.780396382473819E-2</v>
      </c>
      <c r="G25" s="215">
        <f>D25/C25</f>
        <v>0.1990175989090949</v>
      </c>
      <c r="H25" s="123"/>
    </row>
    <row r="26" spans="1:8" ht="15.75" x14ac:dyDescent="0.25">
      <c r="A26" s="19"/>
      <c r="B26" s="131">
        <f>DATE(2021,10,1)</f>
        <v>44470</v>
      </c>
      <c r="C26" s="204">
        <v>1507535</v>
      </c>
      <c r="D26" s="204">
        <v>344180</v>
      </c>
      <c r="E26" s="204">
        <v>409251</v>
      </c>
      <c r="F26" s="132">
        <f>(+D26-E26)/E26</f>
        <v>-0.15900022235742858</v>
      </c>
      <c r="G26" s="215">
        <f>D26/C26</f>
        <v>0.22830647381321165</v>
      </c>
      <c r="H26" s="123"/>
    </row>
    <row r="27" spans="1:8" ht="15.75" thickBot="1" x14ac:dyDescent="0.25">
      <c r="A27" s="133"/>
      <c r="B27" s="131"/>
      <c r="C27" s="204"/>
      <c r="D27" s="204"/>
      <c r="E27" s="204"/>
      <c r="F27" s="132"/>
      <c r="G27" s="215"/>
      <c r="H27" s="123"/>
    </row>
    <row r="28" spans="1:8" ht="17.25" thickTop="1" thickBot="1" x14ac:dyDescent="0.3">
      <c r="A28" s="141" t="s">
        <v>14</v>
      </c>
      <c r="B28" s="142"/>
      <c r="C28" s="206">
        <f>SUM(C23:C27)</f>
        <v>5850506</v>
      </c>
      <c r="D28" s="206">
        <f>SUM(D23:D27)</f>
        <v>1319536.5</v>
      </c>
      <c r="E28" s="206">
        <f>SUM(E23:E27)</f>
        <v>1317966.5</v>
      </c>
      <c r="F28" s="143">
        <f>(+D28-E28)/E28</f>
        <v>1.1912290638646733E-3</v>
      </c>
      <c r="G28" s="217">
        <f>D28/C28</f>
        <v>0.22554228642787477</v>
      </c>
      <c r="H28" s="123"/>
    </row>
    <row r="29" spans="1:8" ht="15.75" thickTop="1" x14ac:dyDescent="0.2">
      <c r="A29" s="133"/>
      <c r="B29" s="134"/>
      <c r="C29" s="204"/>
      <c r="D29" s="204"/>
      <c r="E29" s="204"/>
      <c r="F29" s="132"/>
      <c r="G29" s="218"/>
      <c r="H29" s="123"/>
    </row>
    <row r="30" spans="1:8" ht="15.75" x14ac:dyDescent="0.25">
      <c r="A30" s="177" t="s">
        <v>59</v>
      </c>
      <c r="B30" s="131">
        <f>DATE(2021,7,1)</f>
        <v>44378</v>
      </c>
      <c r="C30" s="204">
        <v>13087616</v>
      </c>
      <c r="D30" s="204">
        <v>2503983</v>
      </c>
      <c r="E30" s="204">
        <v>1708169.06</v>
      </c>
      <c r="F30" s="132">
        <f>(+D30-E30)/E30</f>
        <v>0.4658871060455807</v>
      </c>
      <c r="G30" s="215">
        <f>D30/C30</f>
        <v>0.19132460793470712</v>
      </c>
      <c r="H30" s="123"/>
    </row>
    <row r="31" spans="1:8" ht="15.75" x14ac:dyDescent="0.25">
      <c r="A31" s="177"/>
      <c r="B31" s="131">
        <f>DATE(2021,8,1)</f>
        <v>44409</v>
      </c>
      <c r="C31" s="204">
        <v>12295504</v>
      </c>
      <c r="D31" s="204">
        <v>2387806</v>
      </c>
      <c r="E31" s="204">
        <v>2028826.5</v>
      </c>
      <c r="F31" s="132">
        <f>(+D31-E31)/E31</f>
        <v>0.1769394770819486</v>
      </c>
      <c r="G31" s="215">
        <f>D31/C31</f>
        <v>0.1942015553002138</v>
      </c>
      <c r="H31" s="123"/>
    </row>
    <row r="32" spans="1:8" ht="15.75" x14ac:dyDescent="0.25">
      <c r="A32" s="177"/>
      <c r="B32" s="131">
        <f>DATE(2021,9,1)</f>
        <v>44440</v>
      </c>
      <c r="C32" s="204">
        <v>13803172</v>
      </c>
      <c r="D32" s="204">
        <v>2689723.5</v>
      </c>
      <c r="E32" s="204">
        <v>2149169</v>
      </c>
      <c r="F32" s="132">
        <f>(+D32-E32)/E32</f>
        <v>0.25151791227213866</v>
      </c>
      <c r="G32" s="215">
        <f>D32/C32</f>
        <v>0.19486270981771436</v>
      </c>
      <c r="H32" s="123"/>
    </row>
    <row r="33" spans="1:8" ht="15.75" x14ac:dyDescent="0.25">
      <c r="A33" s="177"/>
      <c r="B33" s="131">
        <f>DATE(2021,10,1)</f>
        <v>44470</v>
      </c>
      <c r="C33" s="204">
        <v>13466637</v>
      </c>
      <c r="D33" s="204">
        <v>2470116.0299999998</v>
      </c>
      <c r="E33" s="204">
        <v>2042559.98</v>
      </c>
      <c r="F33" s="132">
        <f>(+D33-E33)/E33</f>
        <v>0.20932362045005887</v>
      </c>
      <c r="G33" s="215">
        <f>D33/C33</f>
        <v>0.18342486175278949</v>
      </c>
      <c r="H33" s="123"/>
    </row>
    <row r="34" spans="1:8" ht="15.75" customHeight="1" thickBot="1" x14ac:dyDescent="0.25">
      <c r="A34" s="133"/>
      <c r="B34" s="134"/>
      <c r="C34" s="204"/>
      <c r="D34" s="204"/>
      <c r="E34" s="204"/>
      <c r="F34" s="132"/>
      <c r="G34" s="215"/>
      <c r="H34" s="123"/>
    </row>
    <row r="35" spans="1:8" ht="17.25" customHeight="1" thickTop="1" thickBot="1" x14ac:dyDescent="0.3">
      <c r="A35" s="141" t="s">
        <v>14</v>
      </c>
      <c r="B35" s="142"/>
      <c r="C35" s="206">
        <f>SUM(C30:C34)</f>
        <v>52652929</v>
      </c>
      <c r="D35" s="206">
        <f>SUM(D30:D34)</f>
        <v>10051628.529999999</v>
      </c>
      <c r="E35" s="206">
        <f>SUM(E30:E34)</f>
        <v>7928724.540000001</v>
      </c>
      <c r="F35" s="143">
        <f>(+D35-E35)/E35</f>
        <v>0.26774848581131289</v>
      </c>
      <c r="G35" s="217">
        <f>D35/C35</f>
        <v>0.19090350187356148</v>
      </c>
      <c r="H35" s="123"/>
    </row>
    <row r="36" spans="1:8" ht="15.75" customHeight="1" thickTop="1" x14ac:dyDescent="0.2">
      <c r="A36" s="133"/>
      <c r="B36" s="134"/>
      <c r="C36" s="204"/>
      <c r="D36" s="204"/>
      <c r="E36" s="204"/>
      <c r="F36" s="132"/>
      <c r="G36" s="218"/>
      <c r="H36" s="123"/>
    </row>
    <row r="37" spans="1:8" ht="15" customHeight="1" x14ac:dyDescent="0.25">
      <c r="A37" s="130" t="s">
        <v>62</v>
      </c>
      <c r="B37" s="131">
        <f>DATE(2021,7,1)</f>
        <v>44378</v>
      </c>
      <c r="C37" s="204">
        <v>14071705.5</v>
      </c>
      <c r="D37" s="204">
        <v>3475895.5</v>
      </c>
      <c r="E37" s="204">
        <v>2410424.5</v>
      </c>
      <c r="F37" s="132">
        <f>(+D37-E37)/E37</f>
        <v>0.44202629038992924</v>
      </c>
      <c r="G37" s="215">
        <f>D37/C37</f>
        <v>0.2470130930468947</v>
      </c>
      <c r="H37" s="123"/>
    </row>
    <row r="38" spans="1:8" ht="15" customHeight="1" x14ac:dyDescent="0.25">
      <c r="A38" s="130"/>
      <c r="B38" s="131">
        <f>DATE(2021,8,1)</f>
        <v>44409</v>
      </c>
      <c r="C38" s="204">
        <v>13718026</v>
      </c>
      <c r="D38" s="204">
        <v>1742952</v>
      </c>
      <c r="E38" s="204">
        <v>3089213</v>
      </c>
      <c r="F38" s="132">
        <f>(+D38-E38)/E38</f>
        <v>-0.43579416505109875</v>
      </c>
      <c r="G38" s="215">
        <f>D38/C38</f>
        <v>0.1270555982325737</v>
      </c>
      <c r="H38" s="123"/>
    </row>
    <row r="39" spans="1:8" ht="15" customHeight="1" x14ac:dyDescent="0.25">
      <c r="A39" s="130"/>
      <c r="B39" s="131">
        <f>DATE(2021,9,1)</f>
        <v>44440</v>
      </c>
      <c r="C39" s="204">
        <v>12923567</v>
      </c>
      <c r="D39" s="204">
        <v>3305560.5</v>
      </c>
      <c r="E39" s="204">
        <v>3482637.89</v>
      </c>
      <c r="F39" s="132">
        <f>(+D39-E39)/E39</f>
        <v>-5.0845765650358823E-2</v>
      </c>
      <c r="G39" s="215">
        <f>D39/C39</f>
        <v>0.25577771988182518</v>
      </c>
      <c r="H39" s="123"/>
    </row>
    <row r="40" spans="1:8" ht="15" customHeight="1" x14ac:dyDescent="0.25">
      <c r="A40" s="130"/>
      <c r="B40" s="131">
        <f>DATE(2021,10,1)</f>
        <v>44470</v>
      </c>
      <c r="C40" s="204">
        <v>12696171.5</v>
      </c>
      <c r="D40" s="204">
        <v>3513957.5</v>
      </c>
      <c r="E40" s="204">
        <v>3513244</v>
      </c>
      <c r="F40" s="132">
        <f>(+D40-E40)/E40</f>
        <v>2.0308865538516539E-4</v>
      </c>
      <c r="G40" s="215">
        <f>D40/C40</f>
        <v>0.27677300200300542</v>
      </c>
      <c r="H40" s="123"/>
    </row>
    <row r="41" spans="1:8" ht="15.75" thickBot="1" x14ac:dyDescent="0.25">
      <c r="A41" s="133"/>
      <c r="B41" s="131"/>
      <c r="C41" s="204"/>
      <c r="D41" s="204"/>
      <c r="E41" s="204"/>
      <c r="F41" s="132"/>
      <c r="G41" s="215"/>
      <c r="H41" s="123"/>
    </row>
    <row r="42" spans="1:8" ht="17.25" customHeight="1" thickTop="1" thickBot="1" x14ac:dyDescent="0.3">
      <c r="A42" s="141" t="s">
        <v>14</v>
      </c>
      <c r="B42" s="142"/>
      <c r="C42" s="207">
        <f>SUM(C37:C41)</f>
        <v>53409470</v>
      </c>
      <c r="D42" s="261">
        <f>SUM(D37:D41)</f>
        <v>12038365.5</v>
      </c>
      <c r="E42" s="206">
        <f>SUM(E37:E41)</f>
        <v>12495519.390000001</v>
      </c>
      <c r="F42" s="268">
        <f>(+D42-E42)/E42</f>
        <v>-3.6585425201761106E-2</v>
      </c>
      <c r="G42" s="267">
        <f>D42/C42</f>
        <v>0.22539758398651025</v>
      </c>
      <c r="H42" s="123"/>
    </row>
    <row r="43" spans="1:8" ht="15.75" customHeight="1" thickTop="1" x14ac:dyDescent="0.25">
      <c r="A43" s="130"/>
      <c r="B43" s="134"/>
      <c r="C43" s="204"/>
      <c r="D43" s="204"/>
      <c r="E43" s="204"/>
      <c r="F43" s="132"/>
      <c r="G43" s="218"/>
      <c r="H43" s="123"/>
    </row>
    <row r="44" spans="1:8" ht="15.75" x14ac:dyDescent="0.25">
      <c r="A44" s="130" t="s">
        <v>66</v>
      </c>
      <c r="B44" s="131">
        <f>DATE(2021,7,1)</f>
        <v>44378</v>
      </c>
      <c r="C44" s="204">
        <v>3514368</v>
      </c>
      <c r="D44" s="204">
        <v>729030</v>
      </c>
      <c r="E44" s="204">
        <v>572750</v>
      </c>
      <c r="F44" s="132">
        <f>(+D44-E44)/E44</f>
        <v>0.27285901353120906</v>
      </c>
      <c r="G44" s="215">
        <f>D44/C44</f>
        <v>0.2074427037805944</v>
      </c>
      <c r="H44" s="123"/>
    </row>
    <row r="45" spans="1:8" ht="15.75" x14ac:dyDescent="0.25">
      <c r="A45" s="130"/>
      <c r="B45" s="131">
        <f>DATE(2021,8,1)</f>
        <v>44409</v>
      </c>
      <c r="C45" s="204">
        <v>2699849</v>
      </c>
      <c r="D45" s="204">
        <v>844084.5</v>
      </c>
      <c r="E45" s="204">
        <v>629353.5</v>
      </c>
      <c r="F45" s="132">
        <f>(+D45-E45)/E45</f>
        <v>0.34119298613577265</v>
      </c>
      <c r="G45" s="215">
        <f>D45/C45</f>
        <v>0.31264137364719286</v>
      </c>
      <c r="H45" s="123"/>
    </row>
    <row r="46" spans="1:8" ht="15.75" x14ac:dyDescent="0.25">
      <c r="A46" s="130"/>
      <c r="B46" s="131">
        <f>DATE(2021,9,1)</f>
        <v>44440</v>
      </c>
      <c r="C46" s="204">
        <v>2582290</v>
      </c>
      <c r="D46" s="204">
        <v>707619</v>
      </c>
      <c r="E46" s="204">
        <v>564621.5</v>
      </c>
      <c r="F46" s="132">
        <f>(+D46-E46)/E46</f>
        <v>0.2532625838725589</v>
      </c>
      <c r="G46" s="215">
        <f>D46/C46</f>
        <v>0.27402770409210431</v>
      </c>
      <c r="H46" s="123"/>
    </row>
    <row r="47" spans="1:8" ht="15.75" x14ac:dyDescent="0.25">
      <c r="A47" s="130"/>
      <c r="B47" s="131">
        <f>DATE(2021,10,1)</f>
        <v>44470</v>
      </c>
      <c r="C47" s="204">
        <v>2647781</v>
      </c>
      <c r="D47" s="204">
        <v>435392</v>
      </c>
      <c r="E47" s="204">
        <v>553335.5</v>
      </c>
      <c r="F47" s="132">
        <f>(+D47-E47)/E47</f>
        <v>-0.21315006899069372</v>
      </c>
      <c r="G47" s="215">
        <f>D47/C47</f>
        <v>0.16443656027443357</v>
      </c>
      <c r="H47" s="123"/>
    </row>
    <row r="48" spans="1:8" ht="15.75" customHeight="1" thickBot="1" x14ac:dyDescent="0.3">
      <c r="A48" s="130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7">
        <f>SUM(C44:C48)</f>
        <v>11444288</v>
      </c>
      <c r="D49" s="261">
        <f>SUM(D44:D48)</f>
        <v>2716125.5</v>
      </c>
      <c r="E49" s="207">
        <f>SUM(E44:E48)</f>
        <v>2320060.5</v>
      </c>
      <c r="F49" s="268">
        <f>(+D49-E49)/E49</f>
        <v>0.17071322062506561</v>
      </c>
      <c r="G49" s="267">
        <f>D49/C49</f>
        <v>0.23733459870985421</v>
      </c>
      <c r="H49" s="123"/>
    </row>
    <row r="50" spans="1:8" ht="15.75" customHeight="1" thickTop="1" x14ac:dyDescent="0.25">
      <c r="A50" s="130"/>
      <c r="B50" s="134"/>
      <c r="C50" s="204"/>
      <c r="D50" s="204"/>
      <c r="E50" s="204"/>
      <c r="F50" s="132"/>
      <c r="G50" s="218"/>
      <c r="H50" s="123"/>
    </row>
    <row r="51" spans="1:8" ht="15.75" x14ac:dyDescent="0.25">
      <c r="A51" s="130" t="s">
        <v>70</v>
      </c>
      <c r="B51" s="131">
        <f>DATE(2021,7,1)</f>
        <v>44378</v>
      </c>
      <c r="C51" s="204">
        <v>6154700</v>
      </c>
      <c r="D51" s="204">
        <v>1067621</v>
      </c>
      <c r="E51" s="204">
        <v>248731.5</v>
      </c>
      <c r="F51" s="132">
        <f>(+D51-E51)/E51</f>
        <v>3.2922629421685632</v>
      </c>
      <c r="G51" s="215">
        <f>D51/C51</f>
        <v>0.17346434432222529</v>
      </c>
      <c r="H51" s="123"/>
    </row>
    <row r="52" spans="1:8" ht="15.75" x14ac:dyDescent="0.25">
      <c r="A52" s="130"/>
      <c r="B52" s="131">
        <f>DATE(2021,8,1)</f>
        <v>44409</v>
      </c>
      <c r="C52" s="204">
        <v>5891930</v>
      </c>
      <c r="D52" s="204">
        <v>666603.5</v>
      </c>
      <c r="E52" s="204">
        <v>268487</v>
      </c>
      <c r="F52" s="132">
        <f>(+D52-E52)/E52</f>
        <v>1.4828148104005037</v>
      </c>
      <c r="G52" s="215">
        <f>D52/C52</f>
        <v>0.11313839438010974</v>
      </c>
      <c r="H52" s="123"/>
    </row>
    <row r="53" spans="1:8" ht="15.75" x14ac:dyDescent="0.25">
      <c r="A53" s="130"/>
      <c r="B53" s="131">
        <f>DATE(2021,9,1)</f>
        <v>44440</v>
      </c>
      <c r="C53" s="204">
        <v>7061445</v>
      </c>
      <c r="D53" s="204">
        <v>1135711.5</v>
      </c>
      <c r="E53" s="204">
        <v>277957.5</v>
      </c>
      <c r="F53" s="132">
        <f>(+D53-E53)/E53</f>
        <v>3.0859178111761691</v>
      </c>
      <c r="G53" s="215">
        <f>D53/C53</f>
        <v>0.16083273324369163</v>
      </c>
      <c r="H53" s="123"/>
    </row>
    <row r="54" spans="1:8" ht="15.75" x14ac:dyDescent="0.25">
      <c r="A54" s="130"/>
      <c r="B54" s="131">
        <f>DATE(2021,10,1)</f>
        <v>44470</v>
      </c>
      <c r="C54" s="204">
        <v>7202787</v>
      </c>
      <c r="D54" s="204">
        <v>1168170.5</v>
      </c>
      <c r="E54" s="204">
        <v>306011.5</v>
      </c>
      <c r="F54" s="132">
        <f>(+D54-E54)/E54</f>
        <v>2.8174071889455137</v>
      </c>
      <c r="G54" s="215">
        <f>D54/C54</f>
        <v>0.16218312439337718</v>
      </c>
      <c r="H54" s="123"/>
    </row>
    <row r="55" spans="1:8" ht="15.75" customHeight="1" thickBot="1" x14ac:dyDescent="0.3">
      <c r="A55" s="130"/>
      <c r="B55" s="131"/>
      <c r="C55" s="204"/>
      <c r="D55" s="204"/>
      <c r="E55" s="204"/>
      <c r="F55" s="132"/>
      <c r="G55" s="215"/>
      <c r="H55" s="123"/>
    </row>
    <row r="56" spans="1:8" ht="17.25" thickTop="1" thickBot="1" x14ac:dyDescent="0.3">
      <c r="A56" s="141" t="s">
        <v>14</v>
      </c>
      <c r="B56" s="142"/>
      <c r="C56" s="207">
        <f>SUM(C51:C55)</f>
        <v>26310862</v>
      </c>
      <c r="D56" s="261">
        <f>SUM(D51:D55)</f>
        <v>4038106.5</v>
      </c>
      <c r="E56" s="207">
        <f>SUM(E51:E55)</f>
        <v>1101187.5</v>
      </c>
      <c r="F56" s="269">
        <f>(+D56-E56)/E56</f>
        <v>2.6670471649923377</v>
      </c>
      <c r="G56" s="267">
        <f>D56/C56</f>
        <v>0.15347678460705697</v>
      </c>
      <c r="H56" s="123"/>
    </row>
    <row r="57" spans="1:8" ht="15.75" customHeight="1" thickTop="1" x14ac:dyDescent="0.25">
      <c r="A57" s="130"/>
      <c r="B57" s="139"/>
      <c r="C57" s="205"/>
      <c r="D57" s="205"/>
      <c r="E57" s="205"/>
      <c r="F57" s="140"/>
      <c r="G57" s="216"/>
      <c r="H57" s="123"/>
    </row>
    <row r="58" spans="1:8" ht="15.75" customHeight="1" x14ac:dyDescent="0.25">
      <c r="A58" s="130"/>
      <c r="B58" s="134"/>
      <c r="C58" s="204"/>
      <c r="D58" s="204"/>
      <c r="E58" s="204"/>
      <c r="F58" s="132"/>
      <c r="G58" s="215"/>
      <c r="H58" s="123"/>
    </row>
    <row r="59" spans="1:8" ht="15.75" x14ac:dyDescent="0.25">
      <c r="A59" s="130" t="s">
        <v>52</v>
      </c>
      <c r="B59" s="131">
        <f>DATE(2021,7,1)</f>
        <v>44378</v>
      </c>
      <c r="C59" s="204">
        <v>6084758</v>
      </c>
      <c r="D59" s="204">
        <v>1287648</v>
      </c>
      <c r="E59" s="204">
        <v>671384</v>
      </c>
      <c r="F59" s="132">
        <f>(+D59-E59)/E59</f>
        <v>0.91790093299810538</v>
      </c>
      <c r="G59" s="215">
        <f>D59/C59</f>
        <v>0.21161860504559096</v>
      </c>
      <c r="H59" s="123"/>
    </row>
    <row r="60" spans="1:8" ht="15.75" x14ac:dyDescent="0.25">
      <c r="A60" s="130"/>
      <c r="B60" s="131">
        <f>DATE(2021,8,1)</f>
        <v>44409</v>
      </c>
      <c r="C60" s="204">
        <v>5252172</v>
      </c>
      <c r="D60" s="204">
        <v>1323019.5</v>
      </c>
      <c r="E60" s="204">
        <v>647438.06000000006</v>
      </c>
      <c r="F60" s="132">
        <f>(+D60-E60)/E60</f>
        <v>1.043468837775771</v>
      </c>
      <c r="G60" s="215">
        <f>D60/C60</f>
        <v>0.25189949986405624</v>
      </c>
      <c r="H60" s="123"/>
    </row>
    <row r="61" spans="1:8" ht="15.75" x14ac:dyDescent="0.25">
      <c r="A61" s="130"/>
      <c r="B61" s="131">
        <f>DATE(2021,9,1)</f>
        <v>44440</v>
      </c>
      <c r="C61" s="204">
        <v>4855923</v>
      </c>
      <c r="D61" s="204">
        <v>858985.36</v>
      </c>
      <c r="E61" s="204">
        <v>476389</v>
      </c>
      <c r="F61" s="132">
        <f>(+D61-E61)/E61</f>
        <v>0.80311753629911686</v>
      </c>
      <c r="G61" s="215">
        <f>D61/C61</f>
        <v>0.17689435355544147</v>
      </c>
      <c r="H61" s="123"/>
    </row>
    <row r="62" spans="1:8" ht="15.75" x14ac:dyDescent="0.25">
      <c r="A62" s="130"/>
      <c r="B62" s="131">
        <f>DATE(2021,10,1)</f>
        <v>44470</v>
      </c>
      <c r="C62" s="204">
        <v>5531948</v>
      </c>
      <c r="D62" s="204">
        <v>980676.58</v>
      </c>
      <c r="E62" s="204">
        <v>822284.63</v>
      </c>
      <c r="F62" s="132">
        <f>(+D62-E62)/E62</f>
        <v>0.19262423766816603</v>
      </c>
      <c r="G62" s="215">
        <f>D62/C62</f>
        <v>0.17727509007676862</v>
      </c>
      <c r="H62" s="123"/>
    </row>
    <row r="63" spans="1:8" ht="15.75" customHeight="1" thickBot="1" x14ac:dyDescent="0.3">
      <c r="A63" s="130"/>
      <c r="B63" s="131"/>
      <c r="C63" s="204"/>
      <c r="D63" s="204"/>
      <c r="E63" s="204"/>
      <c r="F63" s="132"/>
      <c r="G63" s="215"/>
      <c r="H63" s="123"/>
    </row>
    <row r="64" spans="1:8" ht="17.25" thickTop="1" thickBot="1" x14ac:dyDescent="0.3">
      <c r="A64" s="141" t="s">
        <v>14</v>
      </c>
      <c r="B64" s="142"/>
      <c r="C64" s="206">
        <f>SUM(C59:C63)</f>
        <v>21724801</v>
      </c>
      <c r="D64" s="206">
        <f>SUM(D59:D63)</f>
        <v>4450329.4399999995</v>
      </c>
      <c r="E64" s="206">
        <f>SUM(E59:E63)</f>
        <v>2617495.69</v>
      </c>
      <c r="F64" s="143">
        <f>(+D64-E64)/E64</f>
        <v>0.70022417114276114</v>
      </c>
      <c r="G64" s="217">
        <f>D64/C64</f>
        <v>0.2048501820569035</v>
      </c>
      <c r="H64" s="123"/>
    </row>
    <row r="65" spans="1:8" ht="15.75" customHeight="1" thickTop="1" x14ac:dyDescent="0.25">
      <c r="A65" s="138"/>
      <c r="B65" s="139"/>
      <c r="C65" s="205"/>
      <c r="D65" s="205"/>
      <c r="E65" s="205"/>
      <c r="F65" s="140"/>
      <c r="G65" s="216"/>
      <c r="H65" s="123"/>
    </row>
    <row r="66" spans="1:8" ht="15.75" x14ac:dyDescent="0.25">
      <c r="A66" s="130" t="s">
        <v>16</v>
      </c>
      <c r="B66" s="131">
        <f>DATE(2021,7,1)</f>
        <v>44378</v>
      </c>
      <c r="C66" s="204">
        <v>10188404</v>
      </c>
      <c r="D66" s="204">
        <v>1960105</v>
      </c>
      <c r="E66" s="204">
        <v>1702806.5</v>
      </c>
      <c r="F66" s="132">
        <f>(+D66-E66)/E66</f>
        <v>0.15110260619747459</v>
      </c>
      <c r="G66" s="215">
        <f>D66/C66</f>
        <v>0.19238587319466327</v>
      </c>
      <c r="H66" s="123"/>
    </row>
    <row r="67" spans="1:8" ht="15.75" x14ac:dyDescent="0.25">
      <c r="A67" s="130"/>
      <c r="B67" s="131">
        <f>DATE(2021,8,1)</f>
        <v>44409</v>
      </c>
      <c r="C67" s="204">
        <v>8876957</v>
      </c>
      <c r="D67" s="204">
        <v>2276188.5</v>
      </c>
      <c r="E67" s="204">
        <v>1570570.5</v>
      </c>
      <c r="F67" s="132">
        <f>(+D67-E67)/E67</f>
        <v>0.44927496091388447</v>
      </c>
      <c r="G67" s="215">
        <f>D67/C67</f>
        <v>0.25641540226003123</v>
      </c>
      <c r="H67" s="123"/>
    </row>
    <row r="68" spans="1:8" ht="15.75" x14ac:dyDescent="0.25">
      <c r="A68" s="130"/>
      <c r="B68" s="131">
        <f>DATE(2021,9,1)</f>
        <v>44440</v>
      </c>
      <c r="C68" s="204">
        <v>8784096</v>
      </c>
      <c r="D68" s="204">
        <v>937001</v>
      </c>
      <c r="E68" s="204">
        <v>1447626.5</v>
      </c>
      <c r="F68" s="132">
        <f>(+D68-E68)/E68</f>
        <v>-0.35273290451646194</v>
      </c>
      <c r="G68" s="215">
        <f>D68/C68</f>
        <v>0.10667016844988944</v>
      </c>
      <c r="H68" s="123"/>
    </row>
    <row r="69" spans="1:8" ht="15.75" x14ac:dyDescent="0.25">
      <c r="A69" s="130"/>
      <c r="B69" s="131">
        <f>DATE(2021,10,1)</f>
        <v>44470</v>
      </c>
      <c r="C69" s="204">
        <v>9422231</v>
      </c>
      <c r="D69" s="204">
        <v>1775955</v>
      </c>
      <c r="E69" s="204">
        <v>1659455</v>
      </c>
      <c r="F69" s="132">
        <f>(+D69-E69)/E69</f>
        <v>7.0203771720233454E-2</v>
      </c>
      <c r="G69" s="215">
        <f>D69/C69</f>
        <v>0.18848561450042989</v>
      </c>
      <c r="H69" s="123"/>
    </row>
    <row r="70" spans="1:8" ht="15.75" customHeight="1" thickBot="1" x14ac:dyDescent="0.3">
      <c r="A70" s="130"/>
      <c r="B70" s="131"/>
      <c r="C70" s="204"/>
      <c r="D70" s="204"/>
      <c r="E70" s="204"/>
      <c r="F70" s="132"/>
      <c r="G70" s="215"/>
      <c r="H70" s="123"/>
    </row>
    <row r="71" spans="1:8" ht="17.25" thickTop="1" thickBot="1" x14ac:dyDescent="0.3">
      <c r="A71" s="141" t="s">
        <v>14</v>
      </c>
      <c r="B71" s="142"/>
      <c r="C71" s="206">
        <f>SUM(C66:C70)</f>
        <v>37271688</v>
      </c>
      <c r="D71" s="206">
        <f>SUM(D66:D70)</f>
        <v>6949249.5</v>
      </c>
      <c r="E71" s="206">
        <f>SUM(E66:E70)</f>
        <v>6380458.5</v>
      </c>
      <c r="F71" s="143">
        <f>(+D71-E71)/E71</f>
        <v>8.9145787877156477E-2</v>
      </c>
      <c r="G71" s="217">
        <f>D71/C71</f>
        <v>0.18644847799756212</v>
      </c>
      <c r="H71" s="123"/>
    </row>
    <row r="72" spans="1:8" ht="15.75" customHeight="1" thickTop="1" x14ac:dyDescent="0.25">
      <c r="A72" s="138"/>
      <c r="B72" s="139"/>
      <c r="C72" s="205"/>
      <c r="D72" s="205"/>
      <c r="E72" s="205"/>
      <c r="F72" s="140"/>
      <c r="G72" s="216"/>
      <c r="H72" s="123"/>
    </row>
    <row r="73" spans="1:8" ht="15.75" x14ac:dyDescent="0.25">
      <c r="A73" s="130" t="s">
        <v>54</v>
      </c>
      <c r="B73" s="131">
        <f>DATE(2021,7,1)</f>
        <v>44378</v>
      </c>
      <c r="C73" s="204">
        <v>12892239.5</v>
      </c>
      <c r="D73" s="204">
        <v>2503594.66</v>
      </c>
      <c r="E73" s="204">
        <v>1922906.33</v>
      </c>
      <c r="F73" s="132">
        <f>(+D73-E73)/E73</f>
        <v>0.30198472018135175</v>
      </c>
      <c r="G73" s="215">
        <f>D73/C73</f>
        <v>0.19419393038734661</v>
      </c>
      <c r="H73" s="123"/>
    </row>
    <row r="74" spans="1:8" ht="15.75" x14ac:dyDescent="0.25">
      <c r="A74" s="130"/>
      <c r="B74" s="131">
        <f>DATE(2021,8,1)</f>
        <v>44409</v>
      </c>
      <c r="C74" s="204">
        <v>12937175</v>
      </c>
      <c r="D74" s="204">
        <v>2041955.48</v>
      </c>
      <c r="E74" s="204">
        <v>2698345.86</v>
      </c>
      <c r="F74" s="132">
        <f>(+D74-E74)/E74</f>
        <v>-0.24325657793919714</v>
      </c>
      <c r="G74" s="215">
        <f>D74/C74</f>
        <v>0.15783627260201705</v>
      </c>
      <c r="H74" s="123"/>
    </row>
    <row r="75" spans="1:8" ht="15.75" x14ac:dyDescent="0.25">
      <c r="A75" s="130"/>
      <c r="B75" s="131">
        <f>DATE(2021,9,1)</f>
        <v>44440</v>
      </c>
      <c r="C75" s="204">
        <v>13265484</v>
      </c>
      <c r="D75" s="204">
        <v>2713567.27</v>
      </c>
      <c r="E75" s="204">
        <v>2773332.44</v>
      </c>
      <c r="F75" s="132">
        <f>(+D75-E75)/E75</f>
        <v>-2.1549948047339007E-2</v>
      </c>
      <c r="G75" s="215">
        <f>D75/C75</f>
        <v>0.20455848199733986</v>
      </c>
      <c r="H75" s="123"/>
    </row>
    <row r="76" spans="1:8" ht="15.75" x14ac:dyDescent="0.25">
      <c r="A76" s="130"/>
      <c r="B76" s="131">
        <f>DATE(2021,10,1)</f>
        <v>44470</v>
      </c>
      <c r="C76" s="204">
        <v>14843224</v>
      </c>
      <c r="D76" s="204">
        <v>2659301.4700000002</v>
      </c>
      <c r="E76" s="204">
        <v>2099358.0099999998</v>
      </c>
      <c r="F76" s="132">
        <f>(+D76-E76)/E76</f>
        <v>0.26672128209328172</v>
      </c>
      <c r="G76" s="215">
        <f>D76/C76</f>
        <v>0.17915928978771728</v>
      </c>
      <c r="H76" s="123"/>
    </row>
    <row r="77" spans="1:8" ht="15.75" thickBot="1" x14ac:dyDescent="0.25">
      <c r="A77" s="133"/>
      <c r="B77" s="131"/>
      <c r="C77" s="204"/>
      <c r="D77" s="204"/>
      <c r="E77" s="204"/>
      <c r="F77" s="132"/>
      <c r="G77" s="215"/>
      <c r="H77" s="123"/>
    </row>
    <row r="78" spans="1:8" ht="17.25" thickTop="1" thickBot="1" x14ac:dyDescent="0.3">
      <c r="A78" s="141" t="s">
        <v>14</v>
      </c>
      <c r="B78" s="142"/>
      <c r="C78" s="207">
        <f>SUM(C73:C77)</f>
        <v>53938122.5</v>
      </c>
      <c r="D78" s="207">
        <f>SUM(D73:D77)</f>
        <v>9918418.8800000008</v>
      </c>
      <c r="E78" s="207">
        <f>SUM(E73:E77)</f>
        <v>9493942.6399999987</v>
      </c>
      <c r="F78" s="143">
        <f>(+D78-E78)/E78</f>
        <v>4.4710217461351981E-2</v>
      </c>
      <c r="G78" s="267">
        <f>D78/C78</f>
        <v>0.18388513393286912</v>
      </c>
      <c r="H78" s="123"/>
    </row>
    <row r="79" spans="1:8" ht="15.75" customHeight="1" thickTop="1" x14ac:dyDescent="0.25">
      <c r="A79" s="138"/>
      <c r="B79" s="139"/>
      <c r="C79" s="205"/>
      <c r="D79" s="205"/>
      <c r="E79" s="205"/>
      <c r="F79" s="140"/>
      <c r="G79" s="219"/>
      <c r="H79" s="123"/>
    </row>
    <row r="80" spans="1:8" ht="15.75" x14ac:dyDescent="0.25">
      <c r="A80" s="130" t="s">
        <v>55</v>
      </c>
      <c r="B80" s="131">
        <f>DATE(2021,7,1)</f>
        <v>44378</v>
      </c>
      <c r="C80" s="204">
        <v>371140</v>
      </c>
      <c r="D80" s="204">
        <v>95940.5</v>
      </c>
      <c r="E80" s="204">
        <v>188605.5</v>
      </c>
      <c r="F80" s="132">
        <f>(+D80-E80)/E80</f>
        <v>-0.49131653106616724</v>
      </c>
      <c r="G80" s="215">
        <f>D80/C80</f>
        <v>0.25850218246483808</v>
      </c>
      <c r="H80" s="123"/>
    </row>
    <row r="81" spans="1:8" ht="15.75" x14ac:dyDescent="0.25">
      <c r="A81" s="130"/>
      <c r="B81" s="131">
        <f>DATE(2021,8,1)</f>
        <v>44409</v>
      </c>
      <c r="C81" s="204">
        <v>365006</v>
      </c>
      <c r="D81" s="204">
        <v>109429</v>
      </c>
      <c r="E81" s="204">
        <v>111546</v>
      </c>
      <c r="F81" s="132">
        <f>(+D81-E81)/E81</f>
        <v>-1.8978717300485899E-2</v>
      </c>
      <c r="G81" s="215">
        <f>D81/C81</f>
        <v>0.29980055122381549</v>
      </c>
      <c r="H81" s="123"/>
    </row>
    <row r="82" spans="1:8" ht="15.75" x14ac:dyDescent="0.25">
      <c r="A82" s="130"/>
      <c r="B82" s="131">
        <f>DATE(2021,9,1)</f>
        <v>44440</v>
      </c>
      <c r="C82" s="204">
        <v>306911</v>
      </c>
      <c r="D82" s="204">
        <v>101758.5</v>
      </c>
      <c r="E82" s="204">
        <v>108554</v>
      </c>
      <c r="F82" s="132">
        <f>(+D82-E82)/E82</f>
        <v>-6.2600180555299673E-2</v>
      </c>
      <c r="G82" s="215">
        <f>D82/C82</f>
        <v>0.33155703119145291</v>
      </c>
      <c r="H82" s="123"/>
    </row>
    <row r="83" spans="1:8" ht="15.75" x14ac:dyDescent="0.25">
      <c r="A83" s="130"/>
      <c r="B83" s="131">
        <f>DATE(2021,10,1)</f>
        <v>44470</v>
      </c>
      <c r="C83" s="204">
        <v>384507</v>
      </c>
      <c r="D83" s="204">
        <v>79721.5</v>
      </c>
      <c r="E83" s="204">
        <v>95084.5</v>
      </c>
      <c r="F83" s="132">
        <f>(+D83-E83)/E83</f>
        <v>-0.16157207536454418</v>
      </c>
      <c r="G83" s="215">
        <f>D83/C83</f>
        <v>0.207334326813296</v>
      </c>
      <c r="H83" s="123"/>
    </row>
    <row r="84" spans="1:8" ht="15.75" thickBot="1" x14ac:dyDescent="0.25">
      <c r="A84" s="133"/>
      <c r="B84" s="134"/>
      <c r="C84" s="204"/>
      <c r="D84" s="204"/>
      <c r="E84" s="204"/>
      <c r="F84" s="132"/>
      <c r="G84" s="215"/>
      <c r="H84" s="123"/>
    </row>
    <row r="85" spans="1:8" ht="17.25" thickTop="1" thickBot="1" x14ac:dyDescent="0.3">
      <c r="A85" s="144" t="s">
        <v>14</v>
      </c>
      <c r="B85" s="145"/>
      <c r="C85" s="207">
        <f>SUM(C80:C84)</f>
        <v>1427564</v>
      </c>
      <c r="D85" s="207">
        <f>SUM(D80:D84)</f>
        <v>386849.5</v>
      </c>
      <c r="E85" s="207">
        <f>SUM(E80:E84)</f>
        <v>503790</v>
      </c>
      <c r="F85" s="143">
        <f>(+D85-E85)/E85</f>
        <v>-0.23212151888683777</v>
      </c>
      <c r="G85" s="217">
        <f>D85/C85</f>
        <v>0.27098574915030077</v>
      </c>
      <c r="H85" s="123"/>
    </row>
    <row r="86" spans="1:8" ht="15.75" customHeight="1" thickTop="1" x14ac:dyDescent="0.25">
      <c r="A86" s="130"/>
      <c r="B86" s="134"/>
      <c r="C86" s="204"/>
      <c r="D86" s="204"/>
      <c r="E86" s="204"/>
      <c r="F86" s="132"/>
      <c r="G86" s="218"/>
      <c r="H86" s="123"/>
    </row>
    <row r="87" spans="1:8" ht="15.75" x14ac:dyDescent="0.25">
      <c r="A87" s="130" t="s">
        <v>37</v>
      </c>
      <c r="B87" s="131">
        <f>DATE(2021,7,1)</f>
        <v>44378</v>
      </c>
      <c r="C87" s="204">
        <v>21135748</v>
      </c>
      <c r="D87" s="204">
        <v>4828759.4400000004</v>
      </c>
      <c r="E87" s="204">
        <v>4944391.55</v>
      </c>
      <c r="F87" s="132">
        <f>(+D87-E87)/E87</f>
        <v>-2.33865196214081E-2</v>
      </c>
      <c r="G87" s="215">
        <f>D87/C87</f>
        <v>0.22846409031750381</v>
      </c>
      <c r="H87" s="123"/>
    </row>
    <row r="88" spans="1:8" ht="15.75" x14ac:dyDescent="0.25">
      <c r="A88" s="130"/>
      <c r="B88" s="131">
        <f>DATE(2021,8,1)</f>
        <v>44409</v>
      </c>
      <c r="C88" s="204">
        <v>21125231</v>
      </c>
      <c r="D88" s="204">
        <v>4617763.22</v>
      </c>
      <c r="E88" s="204">
        <v>3489579.3</v>
      </c>
      <c r="F88" s="132">
        <f>(+D88-E88)/E88</f>
        <v>0.32330084030473244</v>
      </c>
      <c r="G88" s="215">
        <f>D88/C88</f>
        <v>0.21858995151342958</v>
      </c>
      <c r="H88" s="123"/>
    </row>
    <row r="89" spans="1:8" ht="15.75" x14ac:dyDescent="0.25">
      <c r="A89" s="130"/>
      <c r="B89" s="131">
        <f>DATE(2021,9,1)</f>
        <v>44440</v>
      </c>
      <c r="C89" s="204">
        <v>19406042</v>
      </c>
      <c r="D89" s="204">
        <v>4146063.59</v>
      </c>
      <c r="E89" s="204">
        <v>3694673.89</v>
      </c>
      <c r="F89" s="132">
        <f>(+D89-E89)/E89</f>
        <v>0.12217308304847432</v>
      </c>
      <c r="G89" s="215">
        <f>D89/C89</f>
        <v>0.21364807877876385</v>
      </c>
      <c r="H89" s="123"/>
    </row>
    <row r="90" spans="1:8" ht="15.75" x14ac:dyDescent="0.25">
      <c r="A90" s="130"/>
      <c r="B90" s="131">
        <f>DATE(2021,10,1)</f>
        <v>44470</v>
      </c>
      <c r="C90" s="204">
        <v>22309255.5</v>
      </c>
      <c r="D90" s="204">
        <v>5459139.5700000003</v>
      </c>
      <c r="E90" s="204">
        <v>4159604.05</v>
      </c>
      <c r="F90" s="132">
        <f>(+D90-E90)/E90</f>
        <v>0.31241808219703038</v>
      </c>
      <c r="G90" s="215">
        <f>D90/C90</f>
        <v>0.24470290234472417</v>
      </c>
      <c r="H90" s="123"/>
    </row>
    <row r="91" spans="1:8" ht="15.75" thickBot="1" x14ac:dyDescent="0.25">
      <c r="A91" s="133"/>
      <c r="B91" s="134"/>
      <c r="C91" s="204"/>
      <c r="D91" s="204"/>
      <c r="E91" s="204"/>
      <c r="F91" s="132"/>
      <c r="G91" s="215"/>
      <c r="H91" s="123"/>
    </row>
    <row r="92" spans="1:8" ht="17.25" thickTop="1" thickBot="1" x14ac:dyDescent="0.3">
      <c r="A92" s="141" t="s">
        <v>14</v>
      </c>
      <c r="B92" s="142"/>
      <c r="C92" s="206">
        <f>SUM(C87:C91)</f>
        <v>83976276.5</v>
      </c>
      <c r="D92" s="207">
        <f>SUM(D87:D91)</f>
        <v>19051725.82</v>
      </c>
      <c r="E92" s="206">
        <f>SUM(E87:E91)</f>
        <v>16288248.789999999</v>
      </c>
      <c r="F92" s="143">
        <f>(+D92-E92)/E92</f>
        <v>0.16966078217669472</v>
      </c>
      <c r="G92" s="217">
        <f>D92/C92</f>
        <v>0.22687033307555618</v>
      </c>
      <c r="H92" s="123"/>
    </row>
    <row r="93" spans="1:8" ht="15.75" customHeight="1" thickTop="1" x14ac:dyDescent="0.25">
      <c r="A93" s="130"/>
      <c r="B93" s="134"/>
      <c r="C93" s="204"/>
      <c r="D93" s="204"/>
      <c r="E93" s="204"/>
      <c r="F93" s="132"/>
      <c r="G93" s="218"/>
      <c r="H93" s="123"/>
    </row>
    <row r="94" spans="1:8" ht="15.75" x14ac:dyDescent="0.25">
      <c r="A94" s="130" t="s">
        <v>58</v>
      </c>
      <c r="B94" s="131">
        <f>DATE(2021,7,1)</f>
        <v>44378</v>
      </c>
      <c r="C94" s="204">
        <v>576838</v>
      </c>
      <c r="D94" s="204">
        <v>127439.5</v>
      </c>
      <c r="E94" s="204">
        <v>155770.5</v>
      </c>
      <c r="F94" s="132">
        <f>(+D94-E94)/E94</f>
        <v>-0.18187654273434314</v>
      </c>
      <c r="G94" s="215">
        <f>D94/C94</f>
        <v>0.22092771280671522</v>
      </c>
      <c r="H94" s="123"/>
    </row>
    <row r="95" spans="1:8" ht="15.75" x14ac:dyDescent="0.25">
      <c r="A95" s="130"/>
      <c r="B95" s="131">
        <f>DATE(2021,8,1)</f>
        <v>44409</v>
      </c>
      <c r="C95" s="204">
        <v>465052</v>
      </c>
      <c r="D95" s="204">
        <v>132624</v>
      </c>
      <c r="E95" s="204">
        <v>187855</v>
      </c>
      <c r="F95" s="132">
        <f>(+D95-E95)/E95</f>
        <v>-0.29400867690505977</v>
      </c>
      <c r="G95" s="215">
        <f>D95/C95</f>
        <v>0.2851810120158606</v>
      </c>
      <c r="H95" s="123"/>
    </row>
    <row r="96" spans="1:8" ht="15.75" x14ac:dyDescent="0.25">
      <c r="A96" s="130"/>
      <c r="B96" s="131">
        <f>DATE(2021,9,1)</f>
        <v>44440</v>
      </c>
      <c r="C96" s="204">
        <v>546162</v>
      </c>
      <c r="D96" s="204">
        <v>116203.5</v>
      </c>
      <c r="E96" s="204">
        <v>175772.5</v>
      </c>
      <c r="F96" s="132">
        <f>(+D96-E96)/E96</f>
        <v>-0.338898291826082</v>
      </c>
      <c r="G96" s="215">
        <f>D96/C96</f>
        <v>0.21276379535742143</v>
      </c>
      <c r="H96" s="123"/>
    </row>
    <row r="97" spans="1:8" ht="15.75" x14ac:dyDescent="0.25">
      <c r="A97" s="130"/>
      <c r="B97" s="131">
        <f>DATE(2021,10,1)</f>
        <v>44470</v>
      </c>
      <c r="C97" s="204">
        <v>611813</v>
      </c>
      <c r="D97" s="204">
        <v>167500.5</v>
      </c>
      <c r="E97" s="204">
        <v>128393</v>
      </c>
      <c r="F97" s="132">
        <f>(+D97-E97)/E97</f>
        <v>0.30459215066241929</v>
      </c>
      <c r="G97" s="215">
        <f>D97/C97</f>
        <v>0.27377728162036441</v>
      </c>
      <c r="H97" s="123"/>
    </row>
    <row r="98" spans="1:8" ht="15.75" thickBot="1" x14ac:dyDescent="0.25">
      <c r="A98" s="133"/>
      <c r="B98" s="134"/>
      <c r="C98" s="204"/>
      <c r="D98" s="204"/>
      <c r="E98" s="204"/>
      <c r="F98" s="132"/>
      <c r="G98" s="215"/>
      <c r="H98" s="123"/>
    </row>
    <row r="99" spans="1:8" ht="17.25" thickTop="1" thickBot="1" x14ac:dyDescent="0.3">
      <c r="A99" s="135" t="s">
        <v>14</v>
      </c>
      <c r="B99" s="136"/>
      <c r="C99" s="201">
        <f>SUM(C94:C98)</f>
        <v>2199865</v>
      </c>
      <c r="D99" s="207">
        <f>SUM(D94:D98)</f>
        <v>543767.5</v>
      </c>
      <c r="E99" s="207">
        <f>SUM(E94:E98)</f>
        <v>647791</v>
      </c>
      <c r="F99" s="143">
        <f>(+D99-E99)/E99</f>
        <v>-0.1605818852068028</v>
      </c>
      <c r="G99" s="217">
        <f>D99/C99</f>
        <v>0.2471822134540074</v>
      </c>
      <c r="H99" s="123"/>
    </row>
    <row r="100" spans="1:8" ht="16.5" thickTop="1" thickBot="1" x14ac:dyDescent="0.25">
      <c r="A100" s="146"/>
      <c r="B100" s="139"/>
      <c r="C100" s="205"/>
      <c r="D100" s="205"/>
      <c r="E100" s="205"/>
      <c r="F100" s="140"/>
      <c r="G100" s="216"/>
      <c r="H100" s="123"/>
    </row>
    <row r="101" spans="1:8" ht="17.25" thickTop="1" thickBot="1" x14ac:dyDescent="0.3">
      <c r="A101" s="147" t="s">
        <v>38</v>
      </c>
      <c r="B101" s="121"/>
      <c r="C101" s="201">
        <f>C99+C92+C71+C56+C42+C28+C14+C35+C85+C21+C64+C78+C49</f>
        <v>412210509.56</v>
      </c>
      <c r="D101" s="201">
        <f>D99+D92+D71+D56+D42+D28+D14+D35+D85+D21+D64+D78+D49</f>
        <v>83849241.230000004</v>
      </c>
      <c r="E101" s="201">
        <f>E99+E92+E71+E56+E42+E28+E14+E35+E85+E21+E64+E78+E49</f>
        <v>69579345.959999993</v>
      </c>
      <c r="F101" s="137">
        <f>(+D101-E101)/E101</f>
        <v>0.20508809148915449</v>
      </c>
      <c r="G101" s="212">
        <f>D101/C101</f>
        <v>0.2034136425087803</v>
      </c>
      <c r="H101" s="123"/>
    </row>
    <row r="102" spans="1:8" ht="17.25" thickTop="1" thickBot="1" x14ac:dyDescent="0.3">
      <c r="A102" s="147"/>
      <c r="B102" s="121"/>
      <c r="C102" s="201"/>
      <c r="D102" s="201"/>
      <c r="E102" s="201"/>
      <c r="F102" s="137"/>
      <c r="G102" s="212"/>
      <c r="H102" s="123"/>
    </row>
    <row r="103" spans="1:8" ht="17.25" thickTop="1" thickBot="1" x14ac:dyDescent="0.3">
      <c r="A103" s="265" t="s">
        <v>39</v>
      </c>
      <c r="B103" s="266"/>
      <c r="C103" s="206">
        <f>SUM(C12+C19+C26+C33+C40+C47+C54+C62+C69+C76+C83+C90+C97)</f>
        <v>105923779</v>
      </c>
      <c r="D103" s="206">
        <f>SUM(D12+D19+D26+D33+D40+D47+D54+D62+D69+D76+D83+D90+D97)</f>
        <v>22360692.649999999</v>
      </c>
      <c r="E103" s="206">
        <f>SUM(E12+E19+E26+E33+E40+E47+E54+E62+E69+E76+E83+E90+E97)</f>
        <v>17896568.170000002</v>
      </c>
      <c r="F103" s="268">
        <f>(+D103-E103)/E103</f>
        <v>0.24944025232073286</v>
      </c>
      <c r="G103" s="217">
        <f>D103/C103</f>
        <v>0.21110172674258534</v>
      </c>
      <c r="H103" s="123"/>
    </row>
    <row r="104" spans="1:8" ht="16.5" thickTop="1" x14ac:dyDescent="0.25">
      <c r="A104" s="256"/>
      <c r="B104" s="258"/>
      <c r="C104" s="259"/>
      <c r="D104" s="259"/>
      <c r="E104" s="259"/>
      <c r="F104" s="260"/>
      <c r="G104" s="257"/>
      <c r="H104" s="257"/>
    </row>
    <row r="105" spans="1:8" ht="18.75" x14ac:dyDescent="0.3">
      <c r="A105" s="263" t="s">
        <v>40</v>
      </c>
      <c r="B105" s="117"/>
      <c r="C105" s="208"/>
      <c r="D105" s="208"/>
      <c r="E105" s="208"/>
      <c r="F105" s="148"/>
      <c r="G105" s="220"/>
    </row>
    <row r="106" spans="1:8" ht="15.75" x14ac:dyDescent="0.25">
      <c r="A106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49" max="7" man="1"/>
    <brk id="9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view="pageBreakPreview" topLeftCell="A43" zoomScale="60"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61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67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68</v>
      </c>
      <c r="E8" s="224" t="s">
        <v>68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DATE(21,7,1)</f>
        <v>7853</v>
      </c>
      <c r="C10" s="226">
        <v>0</v>
      </c>
      <c r="D10" s="226">
        <v>0</v>
      </c>
      <c r="E10" s="226">
        <v>0</v>
      </c>
      <c r="F10" s="166">
        <v>0</v>
      </c>
      <c r="G10" s="241">
        <v>0</v>
      </c>
      <c r="H10" s="242">
        <v>0</v>
      </c>
    </row>
    <row r="11" spans="1:8" ht="15.75" x14ac:dyDescent="0.25">
      <c r="A11" s="164"/>
      <c r="B11" s="165">
        <f>DATE(21,8,1)</f>
        <v>7884</v>
      </c>
      <c r="C11" s="226">
        <v>0</v>
      </c>
      <c r="D11" s="226">
        <v>0</v>
      </c>
      <c r="E11" s="226">
        <v>0</v>
      </c>
      <c r="F11" s="166">
        <v>0</v>
      </c>
      <c r="G11" s="241">
        <v>0</v>
      </c>
      <c r="H11" s="242">
        <v>0</v>
      </c>
    </row>
    <row r="12" spans="1:8" ht="15.75" x14ac:dyDescent="0.25">
      <c r="A12" s="164"/>
      <c r="B12" s="165">
        <f>DATE(21,9,1)</f>
        <v>7915</v>
      </c>
      <c r="C12" s="226">
        <v>0</v>
      </c>
      <c r="D12" s="226">
        <v>0</v>
      </c>
      <c r="E12" s="226">
        <v>0</v>
      </c>
      <c r="F12" s="166">
        <v>0</v>
      </c>
      <c r="G12" s="241">
        <v>0</v>
      </c>
      <c r="H12" s="242">
        <v>0</v>
      </c>
    </row>
    <row r="13" spans="1:8" ht="15.75" x14ac:dyDescent="0.25">
      <c r="A13" s="164"/>
      <c r="B13" s="165">
        <f>DATE(21,10,1)</f>
        <v>7945</v>
      </c>
      <c r="C13" s="226">
        <v>0</v>
      </c>
      <c r="D13" s="226">
        <v>0</v>
      </c>
      <c r="E13" s="226">
        <v>0</v>
      </c>
      <c r="F13" s="166">
        <v>0</v>
      </c>
      <c r="G13" s="241">
        <v>0</v>
      </c>
      <c r="H13" s="242">
        <v>0</v>
      </c>
    </row>
    <row r="14" spans="1:8" ht="15.75" thickBot="1" x14ac:dyDescent="0.25">
      <c r="A14" s="167"/>
      <c r="B14" s="168"/>
      <c r="C14" s="226"/>
      <c r="D14" s="226"/>
      <c r="E14" s="226"/>
      <c r="F14" s="166"/>
      <c r="G14" s="241"/>
      <c r="H14" s="242"/>
    </row>
    <row r="15" spans="1:8" ht="17.25" thickTop="1" thickBot="1" x14ac:dyDescent="0.3">
      <c r="A15" s="169" t="s">
        <v>14</v>
      </c>
      <c r="B15" s="155"/>
      <c r="C15" s="223">
        <f>SUM(C10:C14)</f>
        <v>0</v>
      </c>
      <c r="D15" s="223">
        <f>SUM(D10:D14)</f>
        <v>0</v>
      </c>
      <c r="E15" s="223">
        <f>SUM(E10:E14)</f>
        <v>0</v>
      </c>
      <c r="F15" s="170">
        <v>0</v>
      </c>
      <c r="G15" s="236">
        <v>0</v>
      </c>
      <c r="H15" s="237">
        <v>0</v>
      </c>
    </row>
    <row r="16" spans="1:8" ht="15.75" thickTop="1" x14ac:dyDescent="0.2">
      <c r="A16" s="171"/>
      <c r="B16" s="172"/>
      <c r="C16" s="227"/>
      <c r="D16" s="227"/>
      <c r="E16" s="227"/>
      <c r="F16" s="173"/>
      <c r="G16" s="243"/>
      <c r="H16" s="244"/>
    </row>
    <row r="17" spans="1:8" ht="15.75" x14ac:dyDescent="0.25">
      <c r="A17" s="19" t="s">
        <v>48</v>
      </c>
      <c r="B17" s="165">
        <f>DATE(21,7,1)</f>
        <v>7853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9"/>
      <c r="B18" s="165">
        <f>DATE(21,8,1)</f>
        <v>7884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9"/>
      <c r="B19" s="165">
        <f>DATE(21,9,1)</f>
        <v>7915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9"/>
      <c r="B20" s="165">
        <f>DATE(21,10,1)</f>
        <v>7945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thickBot="1" x14ac:dyDescent="0.25">
      <c r="A21" s="167"/>
      <c r="B21" s="165"/>
      <c r="C21" s="226"/>
      <c r="D21" s="226"/>
      <c r="E21" s="226"/>
      <c r="F21" s="166"/>
      <c r="G21" s="241"/>
      <c r="H21" s="242"/>
    </row>
    <row r="22" spans="1:8" ht="17.25" thickTop="1" thickBot="1" x14ac:dyDescent="0.3">
      <c r="A22" s="169" t="s">
        <v>14</v>
      </c>
      <c r="B22" s="155"/>
      <c r="C22" s="223">
        <f>SUM(C17:C21)</f>
        <v>0</v>
      </c>
      <c r="D22" s="223">
        <f>SUM(D17:D21)</f>
        <v>0</v>
      </c>
      <c r="E22" s="223">
        <f>SUM(E17:E21)</f>
        <v>0</v>
      </c>
      <c r="F22" s="170">
        <v>0</v>
      </c>
      <c r="G22" s="236">
        <v>0</v>
      </c>
      <c r="H22" s="237">
        <v>0</v>
      </c>
    </row>
    <row r="23" spans="1:8" ht="15.75" thickTop="1" x14ac:dyDescent="0.2">
      <c r="A23" s="171"/>
      <c r="B23" s="172"/>
      <c r="C23" s="227"/>
      <c r="D23" s="227"/>
      <c r="E23" s="227"/>
      <c r="F23" s="173"/>
      <c r="G23" s="243"/>
      <c r="H23" s="244"/>
    </row>
    <row r="24" spans="1:8" ht="15.75" x14ac:dyDescent="0.25">
      <c r="A24" s="19" t="s">
        <v>64</v>
      </c>
      <c r="B24" s="165">
        <f>DATE(21,7,1)</f>
        <v>7853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DATE(21,8,1)</f>
        <v>7884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DATE(21,9,1)</f>
        <v>7915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DATE(21,10,1)</f>
        <v>7945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thickBot="1" x14ac:dyDescent="0.25">
      <c r="A28" s="167"/>
      <c r="B28" s="165"/>
      <c r="C28" s="226"/>
      <c r="D28" s="226"/>
      <c r="E28" s="226"/>
      <c r="F28" s="166"/>
      <c r="G28" s="241"/>
      <c r="H28" s="242"/>
    </row>
    <row r="29" spans="1:8" ht="17.25" thickTop="1" thickBot="1" x14ac:dyDescent="0.3">
      <c r="A29" s="174" t="s">
        <v>14</v>
      </c>
      <c r="B29" s="175"/>
      <c r="C29" s="228">
        <f>SUM(C24:C28)</f>
        <v>0</v>
      </c>
      <c r="D29" s="228">
        <f>SUM(D24:D28)</f>
        <v>0</v>
      </c>
      <c r="E29" s="228">
        <f>SUM(E24:E28)</f>
        <v>0</v>
      </c>
      <c r="F29" s="176">
        <v>0</v>
      </c>
      <c r="G29" s="245">
        <v>0</v>
      </c>
      <c r="H29" s="246">
        <v>0</v>
      </c>
    </row>
    <row r="30" spans="1:8" ht="15.75" thickTop="1" x14ac:dyDescent="0.2">
      <c r="A30" s="167"/>
      <c r="B30" s="168"/>
      <c r="C30" s="226"/>
      <c r="D30" s="226"/>
      <c r="E30" s="226"/>
      <c r="F30" s="166"/>
      <c r="G30" s="241"/>
      <c r="H30" s="242"/>
    </row>
    <row r="31" spans="1:8" ht="15.75" x14ac:dyDescent="0.25">
      <c r="A31" s="177" t="s">
        <v>59</v>
      </c>
      <c r="B31" s="165">
        <f>DATE(21,7,1)</f>
        <v>7853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x14ac:dyDescent="0.25">
      <c r="A32" s="177"/>
      <c r="B32" s="165">
        <f>DATE(21,8,1)</f>
        <v>7884</v>
      </c>
      <c r="C32" s="226">
        <v>0</v>
      </c>
      <c r="D32" s="226">
        <v>0</v>
      </c>
      <c r="E32" s="226">
        <v>0</v>
      </c>
      <c r="F32" s="166">
        <v>0</v>
      </c>
      <c r="G32" s="241">
        <v>0</v>
      </c>
      <c r="H32" s="242">
        <v>0</v>
      </c>
    </row>
    <row r="33" spans="1:8" ht="15.75" x14ac:dyDescent="0.25">
      <c r="A33" s="177"/>
      <c r="B33" s="165">
        <f>DATE(21,9,1)</f>
        <v>7915</v>
      </c>
      <c r="C33" s="226">
        <v>0</v>
      </c>
      <c r="D33" s="226">
        <v>0</v>
      </c>
      <c r="E33" s="226">
        <v>0</v>
      </c>
      <c r="F33" s="166">
        <v>0</v>
      </c>
      <c r="G33" s="241">
        <v>0</v>
      </c>
      <c r="H33" s="242">
        <v>0</v>
      </c>
    </row>
    <row r="34" spans="1:8" ht="15.75" x14ac:dyDescent="0.25">
      <c r="A34" s="177"/>
      <c r="B34" s="165">
        <f>DATE(21,10,1)</f>
        <v>7945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thickBot="1" x14ac:dyDescent="0.25">
      <c r="A35" s="167"/>
      <c r="B35" s="168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74" t="s">
        <v>14</v>
      </c>
      <c r="B36" s="178"/>
      <c r="C36" s="228">
        <f>SUM(C31:C35)</f>
        <v>0</v>
      </c>
      <c r="D36" s="228">
        <f>SUM(D31:D35)</f>
        <v>0</v>
      </c>
      <c r="E36" s="228">
        <f>SUM(E31:E35)</f>
        <v>0</v>
      </c>
      <c r="F36" s="176">
        <v>0</v>
      </c>
      <c r="G36" s="245">
        <v>0</v>
      </c>
      <c r="H36" s="246">
        <v>0</v>
      </c>
    </row>
    <row r="37" spans="1:8" ht="15.75" thickTop="1" x14ac:dyDescent="0.2">
      <c r="A37" s="167"/>
      <c r="B37" s="168"/>
      <c r="C37" s="226"/>
      <c r="D37" s="226"/>
      <c r="E37" s="226"/>
      <c r="F37" s="166"/>
      <c r="G37" s="241"/>
      <c r="H37" s="242"/>
    </row>
    <row r="38" spans="1:8" ht="15.75" x14ac:dyDescent="0.25">
      <c r="A38" s="164" t="s">
        <v>62</v>
      </c>
      <c r="B38" s="165">
        <f>DATE(21,7,1)</f>
        <v>7853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64"/>
      <c r="B39" s="165">
        <f>DATE(21,8,1)</f>
        <v>7884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64"/>
      <c r="B40" s="165">
        <f>DATE(21,9,1)</f>
        <v>7915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64"/>
      <c r="B41" s="165">
        <f>DATE(21,10,1)</f>
        <v>7945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thickBot="1" x14ac:dyDescent="0.25">
      <c r="A42" s="167"/>
      <c r="B42" s="165"/>
      <c r="C42" s="226"/>
      <c r="D42" s="226"/>
      <c r="E42" s="226"/>
      <c r="F42" s="166"/>
      <c r="G42" s="241"/>
      <c r="H42" s="242"/>
    </row>
    <row r="43" spans="1:8" ht="17.25" thickTop="1" thickBot="1" x14ac:dyDescent="0.3">
      <c r="A43" s="174" t="s">
        <v>14</v>
      </c>
      <c r="B43" s="175"/>
      <c r="C43" s="228">
        <f>SUM(C38:C42)</f>
        <v>0</v>
      </c>
      <c r="D43" s="230">
        <f>SUM(D38:D42)</f>
        <v>0</v>
      </c>
      <c r="E43" s="271">
        <f>SUM(E38:E42)</f>
        <v>0</v>
      </c>
      <c r="F43" s="176">
        <v>0</v>
      </c>
      <c r="G43" s="245">
        <v>0</v>
      </c>
      <c r="H43" s="246">
        <v>0</v>
      </c>
    </row>
    <row r="44" spans="1:8" ht="15.75" thickTop="1" x14ac:dyDescent="0.2">
      <c r="A44" s="167"/>
      <c r="B44" s="168"/>
      <c r="C44" s="226"/>
      <c r="D44" s="226"/>
      <c r="E44" s="226"/>
      <c r="F44" s="166"/>
      <c r="G44" s="241"/>
      <c r="H44" s="242"/>
    </row>
    <row r="45" spans="1:8" ht="15.75" x14ac:dyDescent="0.25">
      <c r="A45" s="164" t="s">
        <v>66</v>
      </c>
      <c r="B45" s="165">
        <f>DATE(21,7,1)</f>
        <v>7853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64"/>
      <c r="B46" s="165">
        <f>DATE(21,8,1)</f>
        <v>7884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64"/>
      <c r="B47" s="165">
        <f>DATE(21,9,1)</f>
        <v>7915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64"/>
      <c r="B48" s="165">
        <f>DATE(21,10,1)</f>
        <v>7945</v>
      </c>
      <c r="C48" s="226">
        <v>0</v>
      </c>
      <c r="D48" s="226">
        <v>0</v>
      </c>
      <c r="E48" s="226">
        <v>0</v>
      </c>
      <c r="F48" s="166">
        <v>0</v>
      </c>
      <c r="G48" s="241">
        <v>0</v>
      </c>
      <c r="H48" s="242">
        <v>0</v>
      </c>
    </row>
    <row r="49" spans="1:8" ht="15.75" thickBot="1" x14ac:dyDescent="0.25">
      <c r="A49" s="167"/>
      <c r="B49" s="165"/>
      <c r="C49" s="226"/>
      <c r="D49" s="226"/>
      <c r="E49" s="226"/>
      <c r="F49" s="166"/>
      <c r="G49" s="241"/>
      <c r="H49" s="242"/>
    </row>
    <row r="50" spans="1:8" ht="17.25" thickTop="1" thickBot="1" x14ac:dyDescent="0.3">
      <c r="A50" s="174" t="s">
        <v>14</v>
      </c>
      <c r="B50" s="175"/>
      <c r="C50" s="228">
        <f>SUM(C45:C49)</f>
        <v>0</v>
      </c>
      <c r="D50" s="230">
        <f>SUM(D45:D49)</f>
        <v>0</v>
      </c>
      <c r="E50" s="271">
        <f>SUM(E45:E49)</f>
        <v>0</v>
      </c>
      <c r="F50" s="176">
        <v>0</v>
      </c>
      <c r="G50" s="245">
        <v>0</v>
      </c>
      <c r="H50" s="246">
        <v>0</v>
      </c>
    </row>
    <row r="51" spans="1:8" ht="15.75" thickTop="1" x14ac:dyDescent="0.2">
      <c r="A51" s="167"/>
      <c r="B51" s="168"/>
      <c r="C51" s="226"/>
      <c r="D51" s="226"/>
      <c r="E51" s="226"/>
      <c r="F51" s="166"/>
      <c r="G51" s="241"/>
      <c r="H51" s="242"/>
    </row>
    <row r="52" spans="1:8" ht="15.75" x14ac:dyDescent="0.25">
      <c r="A52" s="164" t="s">
        <v>70</v>
      </c>
      <c r="B52" s="165">
        <f>DATE(21,7,1)</f>
        <v>7853</v>
      </c>
      <c r="C52" s="226">
        <v>0</v>
      </c>
      <c r="D52" s="226">
        <v>0</v>
      </c>
      <c r="E52" s="226">
        <v>0</v>
      </c>
      <c r="F52" s="166">
        <v>0</v>
      </c>
      <c r="G52" s="241">
        <v>0</v>
      </c>
      <c r="H52" s="242">
        <v>0</v>
      </c>
    </row>
    <row r="53" spans="1:8" ht="15.75" x14ac:dyDescent="0.25">
      <c r="A53" s="164"/>
      <c r="B53" s="165">
        <f>DATE(21,8,1)</f>
        <v>7884</v>
      </c>
      <c r="C53" s="226">
        <v>0</v>
      </c>
      <c r="D53" s="226">
        <v>0</v>
      </c>
      <c r="E53" s="226">
        <v>0</v>
      </c>
      <c r="F53" s="166">
        <v>0</v>
      </c>
      <c r="G53" s="241">
        <v>0</v>
      </c>
      <c r="H53" s="242">
        <v>0</v>
      </c>
    </row>
    <row r="54" spans="1:8" ht="15.75" x14ac:dyDescent="0.25">
      <c r="A54" s="164"/>
      <c r="B54" s="165">
        <f>DATE(21,9,1)</f>
        <v>7915</v>
      </c>
      <c r="C54" s="226">
        <v>0</v>
      </c>
      <c r="D54" s="226">
        <v>0</v>
      </c>
      <c r="E54" s="226">
        <v>0</v>
      </c>
      <c r="F54" s="166">
        <v>0</v>
      </c>
      <c r="G54" s="241">
        <v>0</v>
      </c>
      <c r="H54" s="242">
        <v>0</v>
      </c>
    </row>
    <row r="55" spans="1:8" ht="15.75" x14ac:dyDescent="0.25">
      <c r="A55" s="164"/>
      <c r="B55" s="165">
        <f>DATE(21,10,1)</f>
        <v>7945</v>
      </c>
      <c r="C55" s="226">
        <v>0</v>
      </c>
      <c r="D55" s="226">
        <v>0</v>
      </c>
      <c r="E55" s="226">
        <v>0</v>
      </c>
      <c r="F55" s="166">
        <v>0</v>
      </c>
      <c r="G55" s="241">
        <v>0</v>
      </c>
      <c r="H55" s="242">
        <v>0</v>
      </c>
    </row>
    <row r="56" spans="1:8" ht="15.75" thickBot="1" x14ac:dyDescent="0.25">
      <c r="A56" s="167"/>
      <c r="B56" s="165"/>
      <c r="C56" s="226"/>
      <c r="D56" s="226"/>
      <c r="E56" s="226"/>
      <c r="F56" s="166"/>
      <c r="G56" s="241"/>
      <c r="H56" s="242"/>
    </row>
    <row r="57" spans="1:8" ht="17.25" thickTop="1" thickBot="1" x14ac:dyDescent="0.3">
      <c r="A57" s="174" t="s">
        <v>14</v>
      </c>
      <c r="B57" s="175"/>
      <c r="C57" s="228">
        <f>SUM(C52:C56)</f>
        <v>0</v>
      </c>
      <c r="D57" s="230">
        <f>SUM(D52:D56)</f>
        <v>0</v>
      </c>
      <c r="E57" s="271">
        <f>SUM(E52:E56)</f>
        <v>0</v>
      </c>
      <c r="F57" s="176">
        <v>0</v>
      </c>
      <c r="G57" s="245">
        <v>0</v>
      </c>
      <c r="H57" s="246">
        <v>0</v>
      </c>
    </row>
    <row r="58" spans="1:8" ht="15.75" thickTop="1" x14ac:dyDescent="0.2">
      <c r="A58" s="167"/>
      <c r="B58" s="168"/>
      <c r="C58" s="226"/>
      <c r="D58" s="226"/>
      <c r="E58" s="226"/>
      <c r="F58" s="166"/>
      <c r="G58" s="241"/>
      <c r="H58" s="242"/>
    </row>
    <row r="59" spans="1:8" ht="15.75" x14ac:dyDescent="0.25">
      <c r="A59" s="164" t="s">
        <v>60</v>
      </c>
      <c r="B59" s="165">
        <f>DATE(21,7,1)</f>
        <v>7853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DATE(21,8,1)</f>
        <v>7884</v>
      </c>
      <c r="C60" s="226">
        <v>0</v>
      </c>
      <c r="D60" s="226">
        <v>0</v>
      </c>
      <c r="E60" s="226">
        <v>118455</v>
      </c>
      <c r="F60" s="166">
        <v>-1</v>
      </c>
      <c r="G60" s="241">
        <v>0</v>
      </c>
      <c r="H60" s="242">
        <v>0</v>
      </c>
    </row>
    <row r="61" spans="1:8" ht="15.75" x14ac:dyDescent="0.25">
      <c r="A61" s="164"/>
      <c r="B61" s="165">
        <f>DATE(21,9,1)</f>
        <v>7915</v>
      </c>
      <c r="C61" s="226">
        <v>0</v>
      </c>
      <c r="D61" s="226">
        <v>0</v>
      </c>
      <c r="E61" s="226">
        <v>106241</v>
      </c>
      <c r="F61" s="166">
        <v>-1</v>
      </c>
      <c r="G61" s="241">
        <v>0</v>
      </c>
      <c r="H61" s="242">
        <v>0</v>
      </c>
    </row>
    <row r="62" spans="1:8" ht="15.75" x14ac:dyDescent="0.25">
      <c r="A62" s="164"/>
      <c r="B62" s="165">
        <f>DATE(21,10,1)</f>
        <v>7945</v>
      </c>
      <c r="C62" s="226">
        <v>0</v>
      </c>
      <c r="D62" s="226">
        <v>0</v>
      </c>
      <c r="E62" s="226">
        <v>82618</v>
      </c>
      <c r="F62" s="166">
        <v>-1</v>
      </c>
      <c r="G62" s="241">
        <v>0</v>
      </c>
      <c r="H62" s="242">
        <v>0</v>
      </c>
    </row>
    <row r="63" spans="1:8" ht="15.75" thickBot="1" x14ac:dyDescent="0.25">
      <c r="A63" s="167"/>
      <c r="B63" s="165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5"/>
      <c r="C64" s="228">
        <f>SUM(C59:C63)</f>
        <v>0</v>
      </c>
      <c r="D64" s="230">
        <f>SUM(D59:D63)</f>
        <v>0</v>
      </c>
      <c r="E64" s="271">
        <f>SUM(E59:E63)</f>
        <v>307314</v>
      </c>
      <c r="F64" s="176">
        <v>0</v>
      </c>
      <c r="G64" s="249">
        <v>0</v>
      </c>
      <c r="H64" s="270">
        <v>0</v>
      </c>
    </row>
    <row r="65" spans="1:8" ht="15.75" thickTop="1" x14ac:dyDescent="0.2">
      <c r="A65" s="167"/>
      <c r="B65" s="179"/>
      <c r="C65" s="229"/>
      <c r="D65" s="229"/>
      <c r="E65" s="229"/>
      <c r="F65" s="180"/>
      <c r="G65" s="247"/>
      <c r="H65" s="248"/>
    </row>
    <row r="66" spans="1:8" ht="15.75" x14ac:dyDescent="0.25">
      <c r="A66" s="164" t="s">
        <v>16</v>
      </c>
      <c r="B66" s="165">
        <f>DATE(21,7,1)</f>
        <v>7853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DATE(21,8,1)</f>
        <v>7884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DATE(21,9,1)</f>
        <v>7915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DATE(21,10,1)</f>
        <v>7945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6.5" thickBot="1" x14ac:dyDescent="0.3">
      <c r="A70" s="164"/>
      <c r="B70" s="165"/>
      <c r="C70" s="226"/>
      <c r="D70" s="226"/>
      <c r="E70" s="226"/>
      <c r="F70" s="166"/>
      <c r="G70" s="241"/>
      <c r="H70" s="242"/>
    </row>
    <row r="71" spans="1:8" ht="17.25" thickTop="1" thickBot="1" x14ac:dyDescent="0.3">
      <c r="A71" s="174" t="s">
        <v>14</v>
      </c>
      <c r="B71" s="181"/>
      <c r="C71" s="228">
        <f>SUM(C66:C70)</f>
        <v>0</v>
      </c>
      <c r="D71" s="228">
        <f>SUM(D66:D70)</f>
        <v>0</v>
      </c>
      <c r="E71" s="228">
        <f>SUM(E66:E70)</f>
        <v>0</v>
      </c>
      <c r="F71" s="176">
        <v>0</v>
      </c>
      <c r="G71" s="245">
        <v>0</v>
      </c>
      <c r="H71" s="246">
        <v>0</v>
      </c>
    </row>
    <row r="72" spans="1:8" ht="15.75" thickTop="1" x14ac:dyDescent="0.2">
      <c r="A72" s="171"/>
      <c r="B72" s="172"/>
      <c r="C72" s="227"/>
      <c r="D72" s="227"/>
      <c r="E72" s="227"/>
      <c r="F72" s="173"/>
      <c r="G72" s="243"/>
      <c r="H72" s="244"/>
    </row>
    <row r="73" spans="1:8" ht="15.75" x14ac:dyDescent="0.25">
      <c r="A73" s="164" t="s">
        <v>54</v>
      </c>
      <c r="B73" s="165">
        <f>DATE(21,7,1)</f>
        <v>7853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DATE(21,8,1)</f>
        <v>7884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DATE(21,9,1)</f>
        <v>7915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DATE(21,10,1)</f>
        <v>7945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thickBot="1" x14ac:dyDescent="0.25">
      <c r="A77" s="167"/>
      <c r="B77" s="168"/>
      <c r="C77" s="226"/>
      <c r="D77" s="226"/>
      <c r="E77" s="226"/>
      <c r="F77" s="166"/>
      <c r="G77" s="241"/>
      <c r="H77" s="242"/>
    </row>
    <row r="78" spans="1:8" ht="17.25" thickTop="1" thickBot="1" x14ac:dyDescent="0.3">
      <c r="A78" s="174" t="s">
        <v>14</v>
      </c>
      <c r="B78" s="175"/>
      <c r="C78" s="228">
        <f>SUM(C73:C77)</f>
        <v>0</v>
      </c>
      <c r="D78" s="228">
        <f>SUM(D73:D77)</f>
        <v>0</v>
      </c>
      <c r="E78" s="228">
        <f>SUM(E73:E77)</f>
        <v>0</v>
      </c>
      <c r="F78" s="176">
        <v>0</v>
      </c>
      <c r="G78" s="245">
        <v>0</v>
      </c>
      <c r="H78" s="246">
        <v>0</v>
      </c>
    </row>
    <row r="79" spans="1:8" ht="15.75" thickTop="1" x14ac:dyDescent="0.2">
      <c r="A79" s="167"/>
      <c r="B79" s="168"/>
      <c r="C79" s="226"/>
      <c r="D79" s="226"/>
      <c r="E79" s="226"/>
      <c r="F79" s="166"/>
      <c r="G79" s="241"/>
      <c r="H79" s="242"/>
    </row>
    <row r="80" spans="1:8" ht="15.75" x14ac:dyDescent="0.25">
      <c r="A80" s="164" t="s">
        <v>55</v>
      </c>
      <c r="B80" s="165">
        <f>DATE(21,7,1)</f>
        <v>7853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DATE(21,8,1)</f>
        <v>7884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x14ac:dyDescent="0.25">
      <c r="A82" s="164"/>
      <c r="B82" s="165">
        <f>DATE(21,9,1)</f>
        <v>7915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DATE(21,10,1)</f>
        <v>7945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thickBot="1" x14ac:dyDescent="0.25">
      <c r="A84" s="167"/>
      <c r="B84" s="168"/>
      <c r="C84" s="226"/>
      <c r="D84" s="226"/>
      <c r="E84" s="226"/>
      <c r="F84" s="166"/>
      <c r="G84" s="241"/>
      <c r="H84" s="242"/>
    </row>
    <row r="85" spans="1:8" ht="17.25" thickTop="1" thickBot="1" x14ac:dyDescent="0.3">
      <c r="A85" s="182" t="s">
        <v>14</v>
      </c>
      <c r="B85" s="183"/>
      <c r="C85" s="230">
        <f>SUM(C80:C84)</f>
        <v>0</v>
      </c>
      <c r="D85" s="230">
        <f>SUM(D80:D84)</f>
        <v>0</v>
      </c>
      <c r="E85" s="230">
        <f>SUM(E80:E84)</f>
        <v>0</v>
      </c>
      <c r="F85" s="176">
        <v>0</v>
      </c>
      <c r="G85" s="245">
        <v>0</v>
      </c>
      <c r="H85" s="246">
        <v>0</v>
      </c>
    </row>
    <row r="86" spans="1:8" ht="15.75" thickTop="1" x14ac:dyDescent="0.2">
      <c r="A86" s="167"/>
      <c r="B86" s="168"/>
      <c r="C86" s="226"/>
      <c r="D86" s="226"/>
      <c r="E86" s="226"/>
      <c r="F86" s="166"/>
      <c r="G86" s="241"/>
      <c r="H86" s="242"/>
    </row>
    <row r="87" spans="1:8" ht="15.75" x14ac:dyDescent="0.25">
      <c r="A87" s="164" t="s">
        <v>37</v>
      </c>
      <c r="B87" s="165">
        <f>DATE(21,7,1)</f>
        <v>7853</v>
      </c>
      <c r="C87" s="226">
        <v>4521310.28</v>
      </c>
      <c r="D87" s="226">
        <v>209181.95</v>
      </c>
      <c r="E87" s="226">
        <v>0</v>
      </c>
      <c r="F87" s="166">
        <v>1</v>
      </c>
      <c r="G87" s="241">
        <f>+D87/C87</f>
        <v>4.6265780724078068E-2</v>
      </c>
      <c r="H87" s="289">
        <f>1-G87</f>
        <v>0.95373421927592195</v>
      </c>
    </row>
    <row r="88" spans="1:8" ht="15.75" x14ac:dyDescent="0.25">
      <c r="A88" s="164"/>
      <c r="B88" s="165">
        <f>DATE(21,8,1)</f>
        <v>7884</v>
      </c>
      <c r="C88" s="226">
        <v>3704866.99</v>
      </c>
      <c r="D88" s="226">
        <v>126701.54</v>
      </c>
      <c r="E88" s="226">
        <v>0</v>
      </c>
      <c r="F88" s="166">
        <v>1</v>
      </c>
      <c r="G88" s="241">
        <f>+D88/C88</f>
        <v>3.4198674430684486E-2</v>
      </c>
      <c r="H88" s="289">
        <f>1-G88</f>
        <v>0.96580132556931553</v>
      </c>
    </row>
    <row r="89" spans="1:8" ht="15.75" x14ac:dyDescent="0.25">
      <c r="A89" s="164"/>
      <c r="B89" s="165">
        <f>DATE(21,9,1)</f>
        <v>7915</v>
      </c>
      <c r="C89" s="226">
        <v>3225792.95</v>
      </c>
      <c r="D89" s="226">
        <v>145306.89000000001</v>
      </c>
      <c r="E89" s="226">
        <v>0</v>
      </c>
      <c r="F89" s="166">
        <v>1</v>
      </c>
      <c r="G89" s="241">
        <f>+D89/C89</f>
        <v>4.5045324437205436E-2</v>
      </c>
      <c r="H89" s="289">
        <f>1-G89</f>
        <v>0.95495467556279456</v>
      </c>
    </row>
    <row r="90" spans="1:8" ht="15.75" x14ac:dyDescent="0.25">
      <c r="A90" s="164"/>
      <c r="B90" s="165">
        <f>DATE(21,10,1)</f>
        <v>7945</v>
      </c>
      <c r="C90" s="226">
        <v>4369745.4400000004</v>
      </c>
      <c r="D90" s="226">
        <v>179665.17</v>
      </c>
      <c r="E90" s="226">
        <v>0</v>
      </c>
      <c r="F90" s="166">
        <v>1</v>
      </c>
      <c r="G90" s="241">
        <f>+D90/C90</f>
        <v>4.1115706273269777E-2</v>
      </c>
      <c r="H90" s="289">
        <f>1-G90</f>
        <v>0.95888429372673023</v>
      </c>
    </row>
    <row r="91" spans="1:8" ht="15.75" thickBot="1" x14ac:dyDescent="0.25">
      <c r="A91" s="167"/>
      <c r="B91" s="168"/>
      <c r="C91" s="226"/>
      <c r="D91" s="226"/>
      <c r="E91" s="226"/>
      <c r="F91" s="166"/>
      <c r="G91" s="241"/>
      <c r="H91" s="242"/>
    </row>
    <row r="92" spans="1:8" ht="17.25" thickTop="1" thickBot="1" x14ac:dyDescent="0.3">
      <c r="A92" s="174" t="s">
        <v>14</v>
      </c>
      <c r="B92" s="175"/>
      <c r="C92" s="228">
        <f>SUM(C87:C91)</f>
        <v>15821715.66</v>
      </c>
      <c r="D92" s="228">
        <f>SUM(D87:D91)</f>
        <v>660855.55000000005</v>
      </c>
      <c r="E92" s="228">
        <f>SUM(E87:E91)</f>
        <v>0</v>
      </c>
      <c r="F92" s="176">
        <v>1</v>
      </c>
      <c r="G92" s="245">
        <f>+D92/C92</f>
        <v>4.1768893096135948E-2</v>
      </c>
      <c r="H92" s="246">
        <f>1-G92</f>
        <v>0.95823110690386404</v>
      </c>
    </row>
    <row r="93" spans="1:8" ht="15.75" thickTop="1" x14ac:dyDescent="0.2">
      <c r="A93" s="167"/>
      <c r="B93" s="168"/>
      <c r="C93" s="226"/>
      <c r="D93" s="226"/>
      <c r="E93" s="226"/>
      <c r="F93" s="166"/>
      <c r="G93" s="241"/>
      <c r="H93" s="242"/>
    </row>
    <row r="94" spans="1:8" ht="15.75" x14ac:dyDescent="0.25">
      <c r="A94" s="164" t="s">
        <v>58</v>
      </c>
      <c r="B94" s="165">
        <f>DATE(21,7,1)</f>
        <v>7853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DATE(21,8,1)</f>
        <v>7884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DATE(21,9,1)</f>
        <v>7915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DATE(21,10,1)</f>
        <v>7945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thickBot="1" x14ac:dyDescent="0.25">
      <c r="A98" s="167"/>
      <c r="B98" s="168"/>
      <c r="C98" s="226"/>
      <c r="D98" s="226"/>
      <c r="E98" s="226"/>
      <c r="F98" s="166"/>
      <c r="G98" s="241"/>
      <c r="H98" s="242"/>
    </row>
    <row r="99" spans="1:8" ht="17.25" thickTop="1" thickBot="1" x14ac:dyDescent="0.3">
      <c r="A99" s="169" t="s">
        <v>14</v>
      </c>
      <c r="B99" s="155"/>
      <c r="C99" s="223">
        <f>SUM(C94:C98)</f>
        <v>0</v>
      </c>
      <c r="D99" s="223">
        <f>SUM(D94:D98)</f>
        <v>0</v>
      </c>
      <c r="E99" s="223">
        <f>SUM(E94:E98)</f>
        <v>0</v>
      </c>
      <c r="F99" s="176">
        <v>0</v>
      </c>
      <c r="G99" s="245">
        <v>0</v>
      </c>
      <c r="H99" s="246">
        <v>0</v>
      </c>
    </row>
    <row r="100" spans="1:8" ht="16.5" thickTop="1" thickBot="1" x14ac:dyDescent="0.25">
      <c r="A100" s="171"/>
      <c r="B100" s="172"/>
      <c r="C100" s="227"/>
      <c r="D100" s="227"/>
      <c r="E100" s="227"/>
      <c r="F100" s="173"/>
      <c r="G100" s="243"/>
      <c r="H100" s="244"/>
    </row>
    <row r="101" spans="1:8" ht="17.25" thickTop="1" thickBot="1" x14ac:dyDescent="0.3">
      <c r="A101" s="184" t="s">
        <v>38</v>
      </c>
      <c r="B101" s="155"/>
      <c r="C101" s="223">
        <f>C99+C92+C71+C57+C43+C29+C15+C36+C85+C22+C64+C78+C50</f>
        <v>15821715.66</v>
      </c>
      <c r="D101" s="223">
        <f>D99+D92+D71+D57+D43+D29+D15+D36+D85+D22+D64+D78+D50</f>
        <v>660855.55000000005</v>
      </c>
      <c r="E101" s="223">
        <f>E99+E92+E71+E57+E43+E29+E15+E36+E85+E22+E64+E78+E50</f>
        <v>307314</v>
      </c>
      <c r="F101" s="170">
        <v>1</v>
      </c>
      <c r="G101" s="236">
        <f>D101/C101</f>
        <v>4.1768893096135948E-2</v>
      </c>
      <c r="H101" s="237">
        <f>1-G101</f>
        <v>0.95823110690386404</v>
      </c>
    </row>
    <row r="102" spans="1:8" ht="17.25" thickTop="1" thickBot="1" x14ac:dyDescent="0.3">
      <c r="A102" s="184"/>
      <c r="B102" s="155"/>
      <c r="C102" s="223"/>
      <c r="D102" s="223"/>
      <c r="E102" s="223"/>
      <c r="F102" s="170"/>
      <c r="G102" s="236"/>
      <c r="H102" s="237"/>
    </row>
    <row r="103" spans="1:8" ht="17.25" thickTop="1" thickBot="1" x14ac:dyDescent="0.3">
      <c r="A103" s="184" t="s">
        <v>39</v>
      </c>
      <c r="B103" s="155"/>
      <c r="C103" s="223">
        <f>SUM(C13+C20+C27+C34+C41+C48+C55+C62+C69+C76+C83+C90+C97)</f>
        <v>4369745.4400000004</v>
      </c>
      <c r="D103" s="223">
        <f>SUM(D13+D20+D27+D34+D41+D48+D55+D62+D69+D76+D83+D90+D97)</f>
        <v>179665.17</v>
      </c>
      <c r="E103" s="223">
        <f>SUM(E13+E20+E27+E34+E41+E48+E55+E62+E69+E76+E83+E90+E97)</f>
        <v>82618</v>
      </c>
      <c r="F103" s="170">
        <v>1</v>
      </c>
      <c r="G103" s="236">
        <f>D103/C103</f>
        <v>4.1115706273269777E-2</v>
      </c>
      <c r="H103" s="246">
        <f>1-G103</f>
        <v>0.95888429372673023</v>
      </c>
    </row>
    <row r="104" spans="1:8" ht="16.5" thickTop="1" x14ac:dyDescent="0.25">
      <c r="A104" s="185"/>
      <c r="B104" s="186"/>
      <c r="C104" s="231"/>
      <c r="D104" s="231"/>
      <c r="E104" s="231"/>
      <c r="F104" s="187"/>
      <c r="G104" s="250"/>
      <c r="H104" s="250"/>
    </row>
    <row r="105" spans="1:8" ht="18.75" x14ac:dyDescent="0.3">
      <c r="A105" s="188" t="s">
        <v>49</v>
      </c>
      <c r="B105" s="189"/>
      <c r="C105" s="232"/>
      <c r="D105" s="232"/>
      <c r="E105" s="232"/>
      <c r="F105" s="190"/>
      <c r="G105" s="251"/>
      <c r="H105" s="251"/>
    </row>
    <row r="106" spans="1:8" ht="15.75" x14ac:dyDescent="0.25">
      <c r="A106" s="191"/>
      <c r="B106" s="189"/>
      <c r="C106" s="232"/>
      <c r="D106" s="232"/>
      <c r="E106" s="232"/>
      <c r="F106" s="190"/>
      <c r="G106" s="257"/>
      <c r="H106" s="257"/>
    </row>
  </sheetData>
  <printOptions horizontalCentered="1"/>
  <pageMargins left="0.7" right="0.45" top="0.25" bottom="0.25" header="0.3" footer="0.3"/>
  <pageSetup scale="64" orientation="landscape" r:id="rId1"/>
  <rowBreaks count="2" manualBreakCount="2">
    <brk id="50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7"/>
  <sheetViews>
    <sheetView showOutlineSymbols="0" view="pageBreakPreview" topLeftCell="A46" zoomScale="6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DATE(21,7,1)</f>
        <v>7853</v>
      </c>
      <c r="C10" s="226">
        <v>137710679.78</v>
      </c>
      <c r="D10" s="226">
        <v>13537622.550000001</v>
      </c>
      <c r="E10" s="226">
        <v>11655862.98</v>
      </c>
      <c r="F10" s="166">
        <f>(+D10-E10)/E10</f>
        <v>0.16144317870147099</v>
      </c>
      <c r="G10" s="241">
        <f>D10/C10</f>
        <v>9.830481246354357E-2</v>
      </c>
      <c r="H10" s="242">
        <f>1-G10</f>
        <v>0.90169518753645639</v>
      </c>
      <c r="I10" s="157"/>
    </row>
    <row r="11" spans="1:9" ht="15.75" x14ac:dyDescent="0.25">
      <c r="A11" s="164"/>
      <c r="B11" s="165">
        <f>DATE(21,8,1)</f>
        <v>7884</v>
      </c>
      <c r="C11" s="226">
        <v>128391630.95</v>
      </c>
      <c r="D11" s="226">
        <v>12571995.619999999</v>
      </c>
      <c r="E11" s="226">
        <v>11056944.539999999</v>
      </c>
      <c r="F11" s="166">
        <f>(+D11-E11)/E11</f>
        <v>0.1370225811044902</v>
      </c>
      <c r="G11" s="241">
        <f>D11/C11</f>
        <v>9.7919120794531814E-2</v>
      </c>
      <c r="H11" s="242">
        <f>1-G11</f>
        <v>0.9020808792054682</v>
      </c>
      <c r="I11" s="157"/>
    </row>
    <row r="12" spans="1:9" ht="15.75" x14ac:dyDescent="0.25">
      <c r="A12" s="164"/>
      <c r="B12" s="165">
        <f>DATE(21,9,1)</f>
        <v>7915</v>
      </c>
      <c r="C12" s="226">
        <v>124375181.01000001</v>
      </c>
      <c r="D12" s="226">
        <v>11932276.220000001</v>
      </c>
      <c r="E12" s="226">
        <v>11050997.59</v>
      </c>
      <c r="F12" s="166">
        <f>(+D12-E12)/E12</f>
        <v>7.9746522684745316E-2</v>
      </c>
      <c r="G12" s="241">
        <f>D12/C12</f>
        <v>9.5937759632612099E-2</v>
      </c>
      <c r="H12" s="242">
        <f>1-G12</f>
        <v>0.90406224036738791</v>
      </c>
      <c r="I12" s="157"/>
    </row>
    <row r="13" spans="1:9" ht="15.75" x14ac:dyDescent="0.25">
      <c r="A13" s="164"/>
      <c r="B13" s="165">
        <f>DATE(21,10,1)</f>
        <v>7945</v>
      </c>
      <c r="C13" s="226">
        <v>130707452.04000001</v>
      </c>
      <c r="D13" s="226">
        <v>12591152.91</v>
      </c>
      <c r="E13" s="226">
        <v>11431719.140000001</v>
      </c>
      <c r="F13" s="166">
        <f>(+D13-E13)/E13</f>
        <v>0.10142252060261861</v>
      </c>
      <c r="G13" s="241">
        <f>D13/C13</f>
        <v>9.6330796090698542E-2</v>
      </c>
      <c r="H13" s="242">
        <f>1-G13</f>
        <v>0.9036692039093015</v>
      </c>
      <c r="I13" s="157"/>
    </row>
    <row r="14" spans="1:9" ht="15.75" thickBot="1" x14ac:dyDescent="0.25">
      <c r="A14" s="167"/>
      <c r="B14" s="168"/>
      <c r="C14" s="226"/>
      <c r="D14" s="226"/>
      <c r="E14" s="226"/>
      <c r="F14" s="166"/>
      <c r="G14" s="241"/>
      <c r="H14" s="242"/>
      <c r="I14" s="157"/>
    </row>
    <row r="15" spans="1:9" ht="17.25" thickTop="1" thickBot="1" x14ac:dyDescent="0.3">
      <c r="A15" s="169" t="s">
        <v>14</v>
      </c>
      <c r="B15" s="155"/>
      <c r="C15" s="223">
        <f>SUM(C10:C14)</f>
        <v>521184943.78000003</v>
      </c>
      <c r="D15" s="223">
        <f>SUM(D10:D14)</f>
        <v>50633047.299999997</v>
      </c>
      <c r="E15" s="223">
        <f>SUM(E10:E14)</f>
        <v>45195524.25</v>
      </c>
      <c r="F15" s="170">
        <f>(+D15-E15)/E15</f>
        <v>0.12031109584927532</v>
      </c>
      <c r="G15" s="236">
        <f>D15/C15</f>
        <v>9.7149865713260064E-2</v>
      </c>
      <c r="H15" s="237">
        <f>1-G15</f>
        <v>0.90285013428673988</v>
      </c>
      <c r="I15" s="157"/>
    </row>
    <row r="16" spans="1:9" ht="15.75" thickTop="1" x14ac:dyDescent="0.2">
      <c r="A16" s="171"/>
      <c r="B16" s="172"/>
      <c r="C16" s="227"/>
      <c r="D16" s="227"/>
      <c r="E16" s="227"/>
      <c r="F16" s="173"/>
      <c r="G16" s="243"/>
      <c r="H16" s="244"/>
      <c r="I16" s="157"/>
    </row>
    <row r="17" spans="1:9" ht="15.75" x14ac:dyDescent="0.25">
      <c r="A17" s="19" t="s">
        <v>48</v>
      </c>
      <c r="B17" s="165">
        <f>DATE(21,7,1)</f>
        <v>7853</v>
      </c>
      <c r="C17" s="226">
        <v>73584363.370000005</v>
      </c>
      <c r="D17" s="226">
        <v>7305624.1500000004</v>
      </c>
      <c r="E17" s="226">
        <v>5066109.03</v>
      </c>
      <c r="F17" s="166">
        <f>(+D17-E17)/E17</f>
        <v>0.44205821602698508</v>
      </c>
      <c r="G17" s="241">
        <f>D17/C17</f>
        <v>9.928229063103465E-2</v>
      </c>
      <c r="H17" s="242">
        <f>1-G17</f>
        <v>0.90071770936896534</v>
      </c>
      <c r="I17" s="157"/>
    </row>
    <row r="18" spans="1:9" ht="15.75" x14ac:dyDescent="0.25">
      <c r="A18" s="19"/>
      <c r="B18" s="165">
        <f>DATE(21,8,1)</f>
        <v>7884</v>
      </c>
      <c r="C18" s="226">
        <v>67816496.489999995</v>
      </c>
      <c r="D18" s="226">
        <v>6574172.1100000003</v>
      </c>
      <c r="E18" s="226">
        <v>5468550.7300000004</v>
      </c>
      <c r="F18" s="166">
        <f>(+D18-E18)/E18</f>
        <v>0.20217813358384989</v>
      </c>
      <c r="G18" s="241">
        <f>D18/C18</f>
        <v>9.6940603691749352E-2</v>
      </c>
      <c r="H18" s="242">
        <f>1-G18</f>
        <v>0.90305939630825061</v>
      </c>
      <c r="I18" s="157"/>
    </row>
    <row r="19" spans="1:9" ht="15.75" x14ac:dyDescent="0.25">
      <c r="A19" s="19"/>
      <c r="B19" s="165">
        <f>DATE(21,9,1)</f>
        <v>7915</v>
      </c>
      <c r="C19" s="226">
        <v>67990554.870000005</v>
      </c>
      <c r="D19" s="226">
        <v>6771046.1100000003</v>
      </c>
      <c r="E19" s="226">
        <v>5506925.1600000001</v>
      </c>
      <c r="F19" s="166">
        <f>(+D19-E19)/E19</f>
        <v>0.22955114029550389</v>
      </c>
      <c r="G19" s="241">
        <f>D19/C19</f>
        <v>9.9588040176263382E-2</v>
      </c>
      <c r="H19" s="242">
        <f>1-G19</f>
        <v>0.90041195982373656</v>
      </c>
      <c r="I19" s="157"/>
    </row>
    <row r="20" spans="1:9" ht="15.75" x14ac:dyDescent="0.25">
      <c r="A20" s="19"/>
      <c r="B20" s="165">
        <f>DATE(21,10,1)</f>
        <v>7945</v>
      </c>
      <c r="C20" s="226">
        <v>70153959.480000004</v>
      </c>
      <c r="D20" s="226">
        <v>7189129.7599999998</v>
      </c>
      <c r="E20" s="226">
        <v>5104255.3899999997</v>
      </c>
      <c r="F20" s="166">
        <f>(+D20-E20)/E20</f>
        <v>0.40845808265875194</v>
      </c>
      <c r="G20" s="241">
        <f>D20/C20</f>
        <v>0.10247646481093528</v>
      </c>
      <c r="H20" s="242">
        <f>1-G20</f>
        <v>0.89752353518906469</v>
      </c>
      <c r="I20" s="157"/>
    </row>
    <row r="21" spans="1:9" ht="15.75" thickBot="1" x14ac:dyDescent="0.25">
      <c r="A21" s="167"/>
      <c r="B21" s="165"/>
      <c r="C21" s="226"/>
      <c r="D21" s="226"/>
      <c r="E21" s="226"/>
      <c r="F21" s="166"/>
      <c r="G21" s="241"/>
      <c r="H21" s="242"/>
      <c r="I21" s="157"/>
    </row>
    <row r="22" spans="1:9" ht="17.25" thickTop="1" thickBot="1" x14ac:dyDescent="0.3">
      <c r="A22" s="169" t="s">
        <v>14</v>
      </c>
      <c r="B22" s="155"/>
      <c r="C22" s="223">
        <f>SUM(C17:C21)</f>
        <v>279545374.21000004</v>
      </c>
      <c r="D22" s="223">
        <f>SUM(D17:D21)</f>
        <v>27839972.130000003</v>
      </c>
      <c r="E22" s="223">
        <f>SUM(E17:E21)</f>
        <v>21145840.310000002</v>
      </c>
      <c r="F22" s="170">
        <f>(+D22-E22)/E22</f>
        <v>0.31656967620408555</v>
      </c>
      <c r="G22" s="236">
        <f>D22/C22</f>
        <v>9.9590172824988554E-2</v>
      </c>
      <c r="H22" s="237">
        <f>1-G22</f>
        <v>0.90040982717501139</v>
      </c>
      <c r="I22" s="157"/>
    </row>
    <row r="23" spans="1:9" ht="15.75" thickTop="1" x14ac:dyDescent="0.2">
      <c r="A23" s="171"/>
      <c r="B23" s="172"/>
      <c r="C23" s="227"/>
      <c r="D23" s="227"/>
      <c r="E23" s="227"/>
      <c r="F23" s="173"/>
      <c r="G23" s="243"/>
      <c r="H23" s="244"/>
      <c r="I23" s="157"/>
    </row>
    <row r="24" spans="1:9" ht="15.75" x14ac:dyDescent="0.25">
      <c r="A24" s="19" t="s">
        <v>64</v>
      </c>
      <c r="B24" s="165">
        <f>DATE(21,7,1)</f>
        <v>7853</v>
      </c>
      <c r="C24" s="226">
        <v>41344494.670000002</v>
      </c>
      <c r="D24" s="226">
        <v>4179858.95</v>
      </c>
      <c r="E24" s="226">
        <v>3105687.6</v>
      </c>
      <c r="F24" s="166">
        <f>(+D24-E24)/E24</f>
        <v>0.34587231181912825</v>
      </c>
      <c r="G24" s="241">
        <f>D24/C24</f>
        <v>0.10109831994229088</v>
      </c>
      <c r="H24" s="242">
        <f>1-G24</f>
        <v>0.8989016800577091</v>
      </c>
      <c r="I24" s="157"/>
    </row>
    <row r="25" spans="1:9" ht="15.75" x14ac:dyDescent="0.25">
      <c r="A25" s="19"/>
      <c r="B25" s="165">
        <f>DATE(21,8,1)</f>
        <v>7884</v>
      </c>
      <c r="C25" s="226">
        <v>34738721.109999999</v>
      </c>
      <c r="D25" s="226">
        <v>3554355.99</v>
      </c>
      <c r="E25" s="226">
        <v>3031801</v>
      </c>
      <c r="F25" s="166">
        <f>(+D25-E25)/E25</f>
        <v>0.17235794499704968</v>
      </c>
      <c r="G25" s="241">
        <f>D25/C25</f>
        <v>0.10231683482950188</v>
      </c>
      <c r="H25" s="242">
        <f>1-G25</f>
        <v>0.89768316517049818</v>
      </c>
      <c r="I25" s="157"/>
    </row>
    <row r="26" spans="1:9" ht="15.75" x14ac:dyDescent="0.25">
      <c r="A26" s="19"/>
      <c r="B26" s="165">
        <f>DATE(21,9,1)</f>
        <v>7915</v>
      </c>
      <c r="C26" s="226">
        <v>35864944.780000001</v>
      </c>
      <c r="D26" s="226">
        <v>3815155.29</v>
      </c>
      <c r="E26" s="226">
        <v>2818231.18</v>
      </c>
      <c r="F26" s="166">
        <f>(+D26-E26)/E26</f>
        <v>0.35374106889272294</v>
      </c>
      <c r="G26" s="241">
        <f>D26/C26</f>
        <v>0.10637560752993303</v>
      </c>
      <c r="H26" s="242">
        <f>1-G26</f>
        <v>0.89362439247006697</v>
      </c>
      <c r="I26" s="157"/>
    </row>
    <row r="27" spans="1:9" ht="15.75" x14ac:dyDescent="0.25">
      <c r="A27" s="19"/>
      <c r="B27" s="165">
        <f>DATE(21,10,1)</f>
        <v>7945</v>
      </c>
      <c r="C27" s="226">
        <v>35456144.609999999</v>
      </c>
      <c r="D27" s="226">
        <v>3758784.61</v>
      </c>
      <c r="E27" s="226">
        <v>2969140.93</v>
      </c>
      <c r="F27" s="166">
        <f>(+D27-E27)/E27</f>
        <v>0.26595021880621872</v>
      </c>
      <c r="G27" s="241">
        <f>D27/C27</f>
        <v>0.10601222020455878</v>
      </c>
      <c r="H27" s="242">
        <f>1-G27</f>
        <v>0.8939877797954412</v>
      </c>
      <c r="I27" s="157"/>
    </row>
    <row r="28" spans="1:9" ht="15.75" thickBot="1" x14ac:dyDescent="0.25">
      <c r="A28" s="167"/>
      <c r="B28" s="165"/>
      <c r="C28" s="226"/>
      <c r="D28" s="226"/>
      <c r="E28" s="226"/>
      <c r="F28" s="166"/>
      <c r="G28" s="241"/>
      <c r="H28" s="242"/>
      <c r="I28" s="157"/>
    </row>
    <row r="29" spans="1:9" ht="17.25" thickTop="1" thickBot="1" x14ac:dyDescent="0.3">
      <c r="A29" s="174" t="s">
        <v>14</v>
      </c>
      <c r="B29" s="175"/>
      <c r="C29" s="228">
        <f>SUM(C24:C28)</f>
        <v>147404305.17000002</v>
      </c>
      <c r="D29" s="228">
        <f>SUM(D24:D28)</f>
        <v>15308154.84</v>
      </c>
      <c r="E29" s="228">
        <f>SUM(E24:E28)</f>
        <v>11924860.709999999</v>
      </c>
      <c r="F29" s="176">
        <f>(+D29-E29)/E29</f>
        <v>0.28371770641839228</v>
      </c>
      <c r="G29" s="245">
        <f>D29/C29</f>
        <v>0.10385147721666099</v>
      </c>
      <c r="H29" s="246">
        <f>1-G29</f>
        <v>0.89614852278333901</v>
      </c>
      <c r="I29" s="157"/>
    </row>
    <row r="30" spans="1:9" ht="15.75" thickTop="1" x14ac:dyDescent="0.2">
      <c r="A30" s="167"/>
      <c r="B30" s="168"/>
      <c r="C30" s="226"/>
      <c r="D30" s="226"/>
      <c r="E30" s="226"/>
      <c r="F30" s="166"/>
      <c r="G30" s="241"/>
      <c r="H30" s="242"/>
      <c r="I30" s="157"/>
    </row>
    <row r="31" spans="1:9" ht="15.75" x14ac:dyDescent="0.25">
      <c r="A31" s="177" t="s">
        <v>59</v>
      </c>
      <c r="B31" s="165">
        <f>DATE(21,7,1)</f>
        <v>7853</v>
      </c>
      <c r="C31" s="226">
        <v>184241191.87</v>
      </c>
      <c r="D31" s="226">
        <v>16788708.57</v>
      </c>
      <c r="E31" s="226">
        <v>12870761.890000001</v>
      </c>
      <c r="F31" s="166">
        <f>(+D31-E31)/E31</f>
        <v>0.30440674091283337</v>
      </c>
      <c r="G31" s="241">
        <f>D31/C31</f>
        <v>9.1123534317157806E-2</v>
      </c>
      <c r="H31" s="242">
        <f>1-G31</f>
        <v>0.90887646568284219</v>
      </c>
      <c r="I31" s="157"/>
    </row>
    <row r="32" spans="1:9" ht="15.75" x14ac:dyDescent="0.25">
      <c r="A32" s="177"/>
      <c r="B32" s="165">
        <f>DATE(21,8,1)</f>
        <v>7884</v>
      </c>
      <c r="C32" s="226">
        <v>171470115.47</v>
      </c>
      <c r="D32" s="226">
        <v>15228470.93</v>
      </c>
      <c r="E32" s="226">
        <v>13070251.67</v>
      </c>
      <c r="F32" s="166">
        <f>(+D32-E32)/E32</f>
        <v>0.16512453734565311</v>
      </c>
      <c r="G32" s="241">
        <f>D32/C32</f>
        <v>8.8811224558044563E-2</v>
      </c>
      <c r="H32" s="242">
        <f>1-G32</f>
        <v>0.91118877544195542</v>
      </c>
      <c r="I32" s="157"/>
    </row>
    <row r="33" spans="1:9" ht="15.75" x14ac:dyDescent="0.25">
      <c r="A33" s="177"/>
      <c r="B33" s="165">
        <f>DATE(21,9,1)</f>
        <v>7915</v>
      </c>
      <c r="C33" s="226">
        <v>183696506.80000001</v>
      </c>
      <c r="D33" s="226">
        <v>16699713.119999999</v>
      </c>
      <c r="E33" s="226">
        <v>12783360.18</v>
      </c>
      <c r="F33" s="166">
        <f>(+D33-E33)/E33</f>
        <v>0.30636334147318062</v>
      </c>
      <c r="G33" s="241">
        <f>D33/C33</f>
        <v>9.0909257943493998E-2</v>
      </c>
      <c r="H33" s="242">
        <f>1-G33</f>
        <v>0.90909074205650597</v>
      </c>
      <c r="I33" s="157"/>
    </row>
    <row r="34" spans="1:9" ht="15.75" x14ac:dyDescent="0.25">
      <c r="A34" s="177"/>
      <c r="B34" s="165">
        <f>DATE(21,10,1)</f>
        <v>7945</v>
      </c>
      <c r="C34" s="226">
        <v>184731805.90000001</v>
      </c>
      <c r="D34" s="226">
        <v>16704308.949999999</v>
      </c>
      <c r="E34" s="226">
        <v>13822122.460000001</v>
      </c>
      <c r="F34" s="166">
        <f>(+D34-E34)/E34</f>
        <v>0.20851982018975673</v>
      </c>
      <c r="G34" s="241">
        <f>D34/C34</f>
        <v>9.0424650311936347E-2</v>
      </c>
      <c r="H34" s="242">
        <f>1-G34</f>
        <v>0.90957534968806364</v>
      </c>
      <c r="I34" s="157"/>
    </row>
    <row r="35" spans="1:9" ht="15.75" thickBot="1" x14ac:dyDescent="0.25">
      <c r="A35" s="167"/>
      <c r="B35" s="168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74" t="s">
        <v>14</v>
      </c>
      <c r="B36" s="178"/>
      <c r="C36" s="228">
        <f>SUM(C31:C35)</f>
        <v>724139620.04000008</v>
      </c>
      <c r="D36" s="228">
        <f>SUM(D31:D35)</f>
        <v>65421201.569999993</v>
      </c>
      <c r="E36" s="228">
        <f>SUM(E31:E35)</f>
        <v>52546496.200000003</v>
      </c>
      <c r="F36" s="176">
        <f>(+D36-E36)/E36</f>
        <v>0.24501548725526612</v>
      </c>
      <c r="G36" s="245">
        <f>D36/C36</f>
        <v>9.0343353352750191E-2</v>
      </c>
      <c r="H36" s="246">
        <f>1-G36</f>
        <v>0.90965664664724977</v>
      </c>
      <c r="I36" s="157"/>
    </row>
    <row r="37" spans="1:9" ht="15.75" thickTop="1" x14ac:dyDescent="0.2">
      <c r="A37" s="167"/>
      <c r="B37" s="168"/>
      <c r="C37" s="226"/>
      <c r="D37" s="226"/>
      <c r="E37" s="226"/>
      <c r="F37" s="166"/>
      <c r="G37" s="241"/>
      <c r="H37" s="242"/>
      <c r="I37" s="157"/>
    </row>
    <row r="38" spans="1:9" ht="15.75" x14ac:dyDescent="0.25">
      <c r="A38" s="164" t="s">
        <v>62</v>
      </c>
      <c r="B38" s="165">
        <f>DATE(21,7,1)</f>
        <v>7853</v>
      </c>
      <c r="C38" s="226">
        <v>134033453.04000001</v>
      </c>
      <c r="D38" s="226">
        <v>12735420.67</v>
      </c>
      <c r="E38" s="226">
        <v>13388447.99</v>
      </c>
      <c r="F38" s="166">
        <f>(+D38-E38)/E38</f>
        <v>-4.8775430915349902E-2</v>
      </c>
      <c r="G38" s="241">
        <f>D38/C38</f>
        <v>9.5016731876625835E-2</v>
      </c>
      <c r="H38" s="242">
        <f>1-G38</f>
        <v>0.90498326812337415</v>
      </c>
      <c r="I38" s="157"/>
    </row>
    <row r="39" spans="1:9" ht="15.75" x14ac:dyDescent="0.25">
      <c r="A39" s="164"/>
      <c r="B39" s="165">
        <f>DATE(21,8,1)</f>
        <v>7884</v>
      </c>
      <c r="C39" s="226">
        <v>120007751.62</v>
      </c>
      <c r="D39" s="226">
        <v>11645905.550000001</v>
      </c>
      <c r="E39" s="226">
        <v>12503132.880000001</v>
      </c>
      <c r="F39" s="166">
        <f>(+D39-E39)/E39</f>
        <v>-6.8561002928411649E-2</v>
      </c>
      <c r="G39" s="241">
        <f>D39/C39</f>
        <v>9.7042944249770793E-2</v>
      </c>
      <c r="H39" s="242">
        <f>1-G39</f>
        <v>0.90295705575022922</v>
      </c>
      <c r="I39" s="157"/>
    </row>
    <row r="40" spans="1:9" ht="15.75" x14ac:dyDescent="0.25">
      <c r="A40" s="164"/>
      <c r="B40" s="165">
        <f>DATE(21,9,1)</f>
        <v>7915</v>
      </c>
      <c r="C40" s="226">
        <v>117022540.7</v>
      </c>
      <c r="D40" s="226">
        <v>11184280.18</v>
      </c>
      <c r="E40" s="226">
        <v>11218535.91</v>
      </c>
      <c r="F40" s="166">
        <f>(+D40-E40)/E40</f>
        <v>-3.053493813703935E-3</v>
      </c>
      <c r="G40" s="241">
        <f>D40/C40</f>
        <v>9.5573725481419153E-2</v>
      </c>
      <c r="H40" s="242">
        <f>1-G40</f>
        <v>0.90442627451858082</v>
      </c>
      <c r="I40" s="157"/>
    </row>
    <row r="41" spans="1:9" ht="15.75" x14ac:dyDescent="0.25">
      <c r="A41" s="164"/>
      <c r="B41" s="165">
        <f>DATE(21,10,1)</f>
        <v>7945</v>
      </c>
      <c r="C41" s="226">
        <v>120771341.03</v>
      </c>
      <c r="D41" s="226">
        <v>11396005.27</v>
      </c>
      <c r="E41" s="226">
        <v>11439504.380000001</v>
      </c>
      <c r="F41" s="166">
        <f>(+D41-E41)/E41</f>
        <v>-3.8025344940688125E-3</v>
      </c>
      <c r="G41" s="241">
        <f>D41/C41</f>
        <v>9.436017827415856E-2</v>
      </c>
      <c r="H41" s="242">
        <f>1-G41</f>
        <v>0.90563982172584145</v>
      </c>
      <c r="I41" s="157"/>
    </row>
    <row r="42" spans="1:9" ht="15.75" thickBot="1" x14ac:dyDescent="0.25">
      <c r="A42" s="167"/>
      <c r="B42" s="165"/>
      <c r="C42" s="226"/>
      <c r="D42" s="226"/>
      <c r="E42" s="226"/>
      <c r="F42" s="166"/>
      <c r="G42" s="241"/>
      <c r="H42" s="242"/>
      <c r="I42" s="157"/>
    </row>
    <row r="43" spans="1:9" ht="17.25" thickTop="1" thickBot="1" x14ac:dyDescent="0.3">
      <c r="A43" s="174" t="s">
        <v>14</v>
      </c>
      <c r="B43" s="175"/>
      <c r="C43" s="228">
        <f>SUM(C38:C42)</f>
        <v>491835086.38999999</v>
      </c>
      <c r="D43" s="230">
        <f>SUM(D38:D42)</f>
        <v>46961611.670000002</v>
      </c>
      <c r="E43" s="271">
        <f>SUM(E38:E42)</f>
        <v>48549621.160000004</v>
      </c>
      <c r="F43" s="272">
        <f>(+D43-E43)/E43</f>
        <v>-3.270899858861024E-2</v>
      </c>
      <c r="G43" s="249">
        <f>D43/C43</f>
        <v>9.5482435006196062E-2</v>
      </c>
      <c r="H43" s="270">
        <f>1-G43</f>
        <v>0.90451756499380398</v>
      </c>
      <c r="I43" s="157"/>
    </row>
    <row r="44" spans="1:9" ht="15.75" thickTop="1" x14ac:dyDescent="0.2">
      <c r="A44" s="167"/>
      <c r="B44" s="168"/>
      <c r="C44" s="226"/>
      <c r="D44" s="226"/>
      <c r="E44" s="226"/>
      <c r="F44" s="166"/>
      <c r="G44" s="241"/>
      <c r="H44" s="242"/>
      <c r="I44" s="157"/>
    </row>
    <row r="45" spans="1:9" ht="15.75" x14ac:dyDescent="0.25">
      <c r="A45" s="164" t="s">
        <v>66</v>
      </c>
      <c r="B45" s="165">
        <f>DATE(21,7,1)</f>
        <v>7853</v>
      </c>
      <c r="C45" s="226">
        <v>55925733.850000001</v>
      </c>
      <c r="D45" s="226">
        <v>5744094.3399999999</v>
      </c>
      <c r="E45" s="226">
        <v>4434379.57</v>
      </c>
      <c r="F45" s="166">
        <f>(+D45-E45)/E45</f>
        <v>0.29535468250409591</v>
      </c>
      <c r="G45" s="241">
        <f>D45/C45</f>
        <v>0.10270932439449786</v>
      </c>
      <c r="H45" s="242">
        <f>1-G45</f>
        <v>0.89729067560550213</v>
      </c>
      <c r="I45" s="157"/>
    </row>
    <row r="46" spans="1:9" ht="15.75" x14ac:dyDescent="0.25">
      <c r="A46" s="164"/>
      <c r="B46" s="165">
        <f>DATE(21,8,1)</f>
        <v>7884</v>
      </c>
      <c r="C46" s="226">
        <v>50658517.549999997</v>
      </c>
      <c r="D46" s="226">
        <v>5022432.17</v>
      </c>
      <c r="E46" s="226">
        <v>4333573.3</v>
      </c>
      <c r="F46" s="166">
        <f>(+D46-E46)/E46</f>
        <v>0.15895862889869664</v>
      </c>
      <c r="G46" s="241">
        <f>D46/C46</f>
        <v>9.9142896651937262E-2</v>
      </c>
      <c r="H46" s="242">
        <f>1-G46</f>
        <v>0.90085710334806279</v>
      </c>
      <c r="I46" s="157"/>
    </row>
    <row r="47" spans="1:9" ht="15.75" x14ac:dyDescent="0.25">
      <c r="A47" s="164"/>
      <c r="B47" s="165">
        <f>DATE(21,9,1)</f>
        <v>7915</v>
      </c>
      <c r="C47" s="226">
        <v>50731057.32</v>
      </c>
      <c r="D47" s="226">
        <v>5281548.16</v>
      </c>
      <c r="E47" s="226">
        <v>4417017.5599999996</v>
      </c>
      <c r="F47" s="166">
        <f>(+D47-E47)/E47</f>
        <v>0.19572722731036654</v>
      </c>
      <c r="G47" s="241">
        <f>D47/C47</f>
        <v>0.10410877357996291</v>
      </c>
      <c r="H47" s="242">
        <f>1-G47</f>
        <v>0.89589122642003705</v>
      </c>
      <c r="I47" s="157"/>
    </row>
    <row r="48" spans="1:9" ht="15.75" x14ac:dyDescent="0.25">
      <c r="A48" s="164"/>
      <c r="B48" s="165">
        <f>DATE(21,10,1)</f>
        <v>7945</v>
      </c>
      <c r="C48" s="226">
        <v>50383468.32</v>
      </c>
      <c r="D48" s="226">
        <v>5329338.8099999996</v>
      </c>
      <c r="E48" s="226">
        <v>4440838.8899999997</v>
      </c>
      <c r="F48" s="166">
        <f>(+D48-E48)/E48</f>
        <v>0.20007479262549874</v>
      </c>
      <c r="G48" s="241">
        <f>D48/C48</f>
        <v>0.10577554479083943</v>
      </c>
      <c r="H48" s="242">
        <f>1-G48</f>
        <v>0.89422445520916061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SUM(C45:C49)</f>
        <v>207698777.03999999</v>
      </c>
      <c r="D50" s="230">
        <f>SUM(D45:D49)</f>
        <v>21377413.48</v>
      </c>
      <c r="E50" s="271">
        <f>SUM(E45:E49)</f>
        <v>17625809.32</v>
      </c>
      <c r="F50" s="272">
        <f>(+D50-E50)/E50</f>
        <v>0.2128471999151299</v>
      </c>
      <c r="G50" s="249">
        <f>D50/C50</f>
        <v>0.10292508114230735</v>
      </c>
      <c r="H50" s="270">
        <f>1-G50</f>
        <v>0.89707491885769264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290" t="s">
        <v>70</v>
      </c>
      <c r="B52" s="165">
        <f>DATE(21,7,1)</f>
        <v>7853</v>
      </c>
      <c r="C52" s="226">
        <v>75548562.819999993</v>
      </c>
      <c r="D52" s="226">
        <v>8446672.5700000003</v>
      </c>
      <c r="E52" s="226">
        <v>4303428.05</v>
      </c>
      <c r="F52" s="166">
        <f>(+D52-E52)/E52</f>
        <v>0.96277769068312891</v>
      </c>
      <c r="G52" s="241">
        <f>D52/C52</f>
        <v>0.11180454339184213</v>
      </c>
      <c r="H52" s="242">
        <f>1-G52</f>
        <v>0.88819545660815791</v>
      </c>
      <c r="I52" s="157"/>
    </row>
    <row r="53" spans="1:9" ht="15.75" x14ac:dyDescent="0.25">
      <c r="A53" s="290"/>
      <c r="B53" s="165">
        <f>DATE(21,8,1)</f>
        <v>7884</v>
      </c>
      <c r="C53" s="226">
        <v>78426771.269999996</v>
      </c>
      <c r="D53" s="226">
        <v>8803736.4399999995</v>
      </c>
      <c r="E53" s="226">
        <v>4134795.6</v>
      </c>
      <c r="F53" s="166">
        <f>(+D53-E53)/E53</f>
        <v>1.1291829854902622</v>
      </c>
      <c r="G53" s="241">
        <f>D53/C53</f>
        <v>0.11225422515089088</v>
      </c>
      <c r="H53" s="242">
        <f>1-G53</f>
        <v>0.8877457748491091</v>
      </c>
      <c r="I53" s="157"/>
    </row>
    <row r="54" spans="1:9" ht="15.75" x14ac:dyDescent="0.25">
      <c r="A54" s="290"/>
      <c r="B54" s="165">
        <f>DATE(21,9,1)</f>
        <v>7915</v>
      </c>
      <c r="C54" s="226">
        <v>81538936.450000003</v>
      </c>
      <c r="D54" s="226">
        <v>8914995.2300000004</v>
      </c>
      <c r="E54" s="226">
        <v>5078159.95</v>
      </c>
      <c r="F54" s="166">
        <f>(+D54-E54)/E54</f>
        <v>0.75555620889806752</v>
      </c>
      <c r="G54" s="241">
        <f>D54/C54</f>
        <v>0.1093342103556466</v>
      </c>
      <c r="H54" s="242">
        <f>1-G54</f>
        <v>0.89066578964435339</v>
      </c>
      <c r="I54" s="157"/>
    </row>
    <row r="55" spans="1:9" ht="15.75" x14ac:dyDescent="0.25">
      <c r="A55" s="290"/>
      <c r="B55" s="165">
        <f>DATE(21,10,1)</f>
        <v>7945</v>
      </c>
      <c r="C55" s="226">
        <v>82353659.939999998</v>
      </c>
      <c r="D55" s="226">
        <v>9230867.6699999999</v>
      </c>
      <c r="E55" s="226">
        <v>5823943.8200000003</v>
      </c>
      <c r="F55" s="166">
        <f>(+D55-E55)/E55</f>
        <v>0.5849856996044992</v>
      </c>
      <c r="G55" s="241">
        <f>D55/C55</f>
        <v>0.11208812913385134</v>
      </c>
      <c r="H55" s="242">
        <f>1-G55</f>
        <v>0.88791187086614864</v>
      </c>
      <c r="I55" s="157"/>
    </row>
    <row r="56" spans="1:9" ht="15.75" thickBot="1" x14ac:dyDescent="0.25">
      <c r="A56" s="167"/>
      <c r="B56" s="165"/>
      <c r="C56" s="226"/>
      <c r="D56" s="226"/>
      <c r="E56" s="226"/>
      <c r="F56" s="166"/>
      <c r="G56" s="241"/>
      <c r="H56" s="242"/>
      <c r="I56" s="157"/>
    </row>
    <row r="57" spans="1:9" ht="17.25" thickTop="1" thickBot="1" x14ac:dyDescent="0.3">
      <c r="A57" s="174" t="s">
        <v>14</v>
      </c>
      <c r="B57" s="175"/>
      <c r="C57" s="228">
        <f>SUM(C52:C56)</f>
        <v>317867930.47999996</v>
      </c>
      <c r="D57" s="230">
        <f>SUM(D52:D56)</f>
        <v>35396271.909999996</v>
      </c>
      <c r="E57" s="271">
        <f>SUM(E52:E56)</f>
        <v>19340327.420000002</v>
      </c>
      <c r="F57" s="272">
        <f>(+D57-E57)/E57</f>
        <v>0.83017955908008056</v>
      </c>
      <c r="G57" s="249">
        <f>D57/C57</f>
        <v>0.11135527845337989</v>
      </c>
      <c r="H57" s="270">
        <f>1-G57</f>
        <v>0.88864472154662011</v>
      </c>
      <c r="I57" s="157"/>
    </row>
    <row r="58" spans="1:9" ht="15.75" thickTop="1" x14ac:dyDescent="0.2">
      <c r="A58" s="167"/>
      <c r="B58" s="168"/>
      <c r="C58" s="226"/>
      <c r="D58" s="226"/>
      <c r="E58" s="226"/>
      <c r="F58" s="166"/>
      <c r="G58" s="241"/>
      <c r="H58" s="242"/>
      <c r="I58" s="157"/>
    </row>
    <row r="59" spans="1:9" ht="15.75" x14ac:dyDescent="0.25">
      <c r="A59" s="164" t="s">
        <v>60</v>
      </c>
      <c r="B59" s="165">
        <f>DATE(21,7,1)</f>
        <v>7853</v>
      </c>
      <c r="C59" s="226">
        <v>132221883.15000001</v>
      </c>
      <c r="D59" s="226">
        <v>13534455.82</v>
      </c>
      <c r="E59" s="226">
        <v>10751795.77</v>
      </c>
      <c r="F59" s="166">
        <f>(+D59-E59)/E59</f>
        <v>0.25880886407499171</v>
      </c>
      <c r="G59" s="241">
        <f>D59/C59</f>
        <v>0.10236169306895854</v>
      </c>
      <c r="H59" s="242">
        <f>1-G59</f>
        <v>0.89763830693104141</v>
      </c>
      <c r="I59" s="157"/>
    </row>
    <row r="60" spans="1:9" ht="15.75" x14ac:dyDescent="0.25">
      <c r="A60" s="164"/>
      <c r="B60" s="165">
        <f>DATE(21,8,1)</f>
        <v>7884</v>
      </c>
      <c r="C60" s="226">
        <v>113338502.33</v>
      </c>
      <c r="D60" s="226">
        <v>11799607.16</v>
      </c>
      <c r="E60" s="226">
        <v>11312353.68</v>
      </c>
      <c r="F60" s="166">
        <f>(+D60-E60)/E60</f>
        <v>4.3072687946581284E-2</v>
      </c>
      <c r="G60" s="241">
        <f>D60/C60</f>
        <v>0.104109432517856</v>
      </c>
      <c r="H60" s="242">
        <f>1-G60</f>
        <v>0.89589056748214402</v>
      </c>
      <c r="I60" s="157"/>
    </row>
    <row r="61" spans="1:9" ht="15.75" x14ac:dyDescent="0.25">
      <c r="A61" s="164"/>
      <c r="B61" s="165">
        <f>DATE(21,9,1)</f>
        <v>7915</v>
      </c>
      <c r="C61" s="226">
        <v>111073381.84999999</v>
      </c>
      <c r="D61" s="226">
        <v>11262305.48</v>
      </c>
      <c r="E61" s="226">
        <v>10956999.039999999</v>
      </c>
      <c r="F61" s="166">
        <f>(+D61-E61)/E61</f>
        <v>2.7864056470703256E-2</v>
      </c>
      <c r="G61" s="241">
        <f>D61/C61</f>
        <v>0.10139517940679323</v>
      </c>
      <c r="H61" s="242">
        <f>1-G61</f>
        <v>0.89860482059320679</v>
      </c>
      <c r="I61" s="157"/>
    </row>
    <row r="62" spans="1:9" ht="15.75" x14ac:dyDescent="0.25">
      <c r="A62" s="164"/>
      <c r="B62" s="165">
        <f>DATE(21,10,1)</f>
        <v>7945</v>
      </c>
      <c r="C62" s="226">
        <v>116016618.26000001</v>
      </c>
      <c r="D62" s="226">
        <v>11850584.039999999</v>
      </c>
      <c r="E62" s="226">
        <v>10410650.699999999</v>
      </c>
      <c r="F62" s="166">
        <f>(+D62-E62)/E62</f>
        <v>0.13831348121208215</v>
      </c>
      <c r="G62" s="241">
        <f>D62/C62</f>
        <v>0.10214557377842327</v>
      </c>
      <c r="H62" s="242">
        <f>1-G62</f>
        <v>0.89785442622157674</v>
      </c>
      <c r="I62" s="157"/>
    </row>
    <row r="63" spans="1:9" ht="15.75" thickBot="1" x14ac:dyDescent="0.25">
      <c r="A63" s="167"/>
      <c r="B63" s="165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5"/>
      <c r="C64" s="228">
        <f>SUM(C59:C63)</f>
        <v>472650385.59000003</v>
      </c>
      <c r="D64" s="230">
        <f>SUM(D59:D63)</f>
        <v>48446952.5</v>
      </c>
      <c r="E64" s="271">
        <f>SUM(E59:E63)</f>
        <v>43431799.189999998</v>
      </c>
      <c r="F64" s="176">
        <f>(+D64-E64)/E64</f>
        <v>0.11547192157663876</v>
      </c>
      <c r="G64" s="249">
        <f>D64/C64</f>
        <v>0.10250060928126534</v>
      </c>
      <c r="H64" s="270">
        <f>1-G64</f>
        <v>0.89749939071873464</v>
      </c>
      <c r="I64" s="157"/>
    </row>
    <row r="65" spans="1:9" ht="15.75" thickTop="1" x14ac:dyDescent="0.2">
      <c r="A65" s="167"/>
      <c r="B65" s="179"/>
      <c r="C65" s="229"/>
      <c r="D65" s="229"/>
      <c r="E65" s="229"/>
      <c r="F65" s="180"/>
      <c r="G65" s="247"/>
      <c r="H65" s="248"/>
      <c r="I65" s="157"/>
    </row>
    <row r="66" spans="1:9" ht="15.75" x14ac:dyDescent="0.25">
      <c r="A66" s="164" t="s">
        <v>16</v>
      </c>
      <c r="B66" s="165">
        <f>DATE(21,7,1)</f>
        <v>7853</v>
      </c>
      <c r="C66" s="226">
        <v>163880399.77000001</v>
      </c>
      <c r="D66" s="226">
        <v>16148799.359999999</v>
      </c>
      <c r="E66" s="226">
        <v>12124639.109999999</v>
      </c>
      <c r="F66" s="166">
        <f>(+D66-E66)/E66</f>
        <v>0.33189938384895978</v>
      </c>
      <c r="G66" s="241">
        <f>D66/C66</f>
        <v>9.854015112645706E-2</v>
      </c>
      <c r="H66" s="242">
        <f>1-G66</f>
        <v>0.90145984887354291</v>
      </c>
      <c r="I66" s="157"/>
    </row>
    <row r="67" spans="1:9" ht="15.75" x14ac:dyDescent="0.25">
      <c r="A67" s="164"/>
      <c r="B67" s="165">
        <f>DATE(21,8,1)</f>
        <v>7884</v>
      </c>
      <c r="C67" s="226">
        <v>145844596.15000001</v>
      </c>
      <c r="D67" s="226">
        <v>14007269.199999999</v>
      </c>
      <c r="E67" s="226">
        <v>12772714.18</v>
      </c>
      <c r="F67" s="166">
        <f>(+D67-E67)/E67</f>
        <v>9.6655652244462861E-2</v>
      </c>
      <c r="G67" s="241">
        <f>D67/C67</f>
        <v>9.6042428514757139E-2</v>
      </c>
      <c r="H67" s="242">
        <f>1-G67</f>
        <v>0.90395757148524281</v>
      </c>
      <c r="I67" s="157"/>
    </row>
    <row r="68" spans="1:9" ht="15.75" x14ac:dyDescent="0.25">
      <c r="A68" s="164"/>
      <c r="B68" s="165">
        <f>DATE(21,9,1)</f>
        <v>7915</v>
      </c>
      <c r="C68" s="226">
        <v>143094986.72999999</v>
      </c>
      <c r="D68" s="226">
        <v>13534117.949999999</v>
      </c>
      <c r="E68" s="226">
        <v>12144964.720000001</v>
      </c>
      <c r="F68" s="166">
        <f>(+D68-E68)/E68</f>
        <v>0.11438100167655312</v>
      </c>
      <c r="G68" s="241">
        <f>D68/C68</f>
        <v>9.4581356477127787E-2</v>
      </c>
      <c r="H68" s="242">
        <f>1-G68</f>
        <v>0.90541864352287216</v>
      </c>
      <c r="I68" s="157"/>
    </row>
    <row r="69" spans="1:9" ht="15.75" x14ac:dyDescent="0.25">
      <c r="A69" s="164"/>
      <c r="B69" s="165">
        <f>DATE(21,10,1)</f>
        <v>7945</v>
      </c>
      <c r="C69" s="226">
        <v>155067360.19</v>
      </c>
      <c r="D69" s="226">
        <v>14717532.77</v>
      </c>
      <c r="E69" s="226">
        <v>12789406.33</v>
      </c>
      <c r="F69" s="166">
        <f>(+D69-E69)/E69</f>
        <v>0.15075965140596165</v>
      </c>
      <c r="G69" s="241">
        <f>D69/C69</f>
        <v>9.4910577906059598E-2</v>
      </c>
      <c r="H69" s="242">
        <f>1-G69</f>
        <v>0.90508942209394039</v>
      </c>
      <c r="I69" s="157"/>
    </row>
    <row r="70" spans="1:9" ht="15.75" customHeight="1" thickBot="1" x14ac:dyDescent="0.3">
      <c r="A70" s="164"/>
      <c r="B70" s="165"/>
      <c r="C70" s="226"/>
      <c r="D70" s="226"/>
      <c r="E70" s="226"/>
      <c r="F70" s="166"/>
      <c r="G70" s="241"/>
      <c r="H70" s="242"/>
      <c r="I70" s="157"/>
    </row>
    <row r="71" spans="1:9" ht="17.25" thickTop="1" thickBot="1" x14ac:dyDescent="0.3">
      <c r="A71" s="174" t="s">
        <v>14</v>
      </c>
      <c r="B71" s="181"/>
      <c r="C71" s="228">
        <f>SUM(C66:C70)</f>
        <v>607887342.83999991</v>
      </c>
      <c r="D71" s="228">
        <f>SUM(D66:D70)</f>
        <v>58407719.280000001</v>
      </c>
      <c r="E71" s="228">
        <f>SUM(E66:E70)</f>
        <v>49831724.339999996</v>
      </c>
      <c r="F71" s="176">
        <f>(+D71-E71)/E71</f>
        <v>0.17209910059475991</v>
      </c>
      <c r="G71" s="245">
        <f>D71/C71</f>
        <v>9.6083131139273137E-2</v>
      </c>
      <c r="H71" s="246">
        <f>1-G71</f>
        <v>0.90391686886072686</v>
      </c>
      <c r="I71" s="157"/>
    </row>
    <row r="72" spans="1:9" ht="15.75" thickTop="1" x14ac:dyDescent="0.2">
      <c r="A72" s="171"/>
      <c r="B72" s="172"/>
      <c r="C72" s="227"/>
      <c r="D72" s="227"/>
      <c r="E72" s="227"/>
      <c r="F72" s="173"/>
      <c r="G72" s="243"/>
      <c r="H72" s="244"/>
      <c r="I72" s="157"/>
    </row>
    <row r="73" spans="1:9" ht="15.75" x14ac:dyDescent="0.25">
      <c r="A73" s="164" t="s">
        <v>54</v>
      </c>
      <c r="B73" s="165">
        <f>DATE(21,7,1)</f>
        <v>7853</v>
      </c>
      <c r="C73" s="226">
        <v>200357166.28999999</v>
      </c>
      <c r="D73" s="226">
        <v>17635283.719999999</v>
      </c>
      <c r="E73" s="226">
        <v>13113665.15</v>
      </c>
      <c r="F73" s="166">
        <f>(+D73-E73)/E73</f>
        <v>0.34480204567370687</v>
      </c>
      <c r="G73" s="241">
        <f>D73/C73</f>
        <v>8.80192310889166E-2</v>
      </c>
      <c r="H73" s="242">
        <f>1-G73</f>
        <v>0.91198076891108337</v>
      </c>
      <c r="I73" s="157"/>
    </row>
    <row r="74" spans="1:9" ht="15.75" x14ac:dyDescent="0.25">
      <c r="A74" s="164"/>
      <c r="B74" s="165">
        <f>DATE(21,8,1)</f>
        <v>7884</v>
      </c>
      <c r="C74" s="226">
        <v>187880345.88999999</v>
      </c>
      <c r="D74" s="226">
        <v>17152915.09</v>
      </c>
      <c r="E74" s="226">
        <v>13163225.939999999</v>
      </c>
      <c r="F74" s="166">
        <f>(+D74-E74)/E74</f>
        <v>0.30309357054156899</v>
      </c>
      <c r="G74" s="241">
        <f>D74/C74</f>
        <v>9.1297016772806411E-2</v>
      </c>
      <c r="H74" s="242">
        <f>1-G74</f>
        <v>0.90870298322719356</v>
      </c>
      <c r="I74" s="157"/>
    </row>
    <row r="75" spans="1:9" ht="15.75" x14ac:dyDescent="0.25">
      <c r="A75" s="164"/>
      <c r="B75" s="165">
        <f>DATE(21,9,1)</f>
        <v>7915</v>
      </c>
      <c r="C75" s="226">
        <v>188989871.88999999</v>
      </c>
      <c r="D75" s="226">
        <v>16762718.67</v>
      </c>
      <c r="E75" s="226">
        <v>13632742.51</v>
      </c>
      <c r="F75" s="166">
        <f>(+D75-E75)/E75</f>
        <v>0.22959255320080127</v>
      </c>
      <c r="G75" s="241">
        <f>D75/C75</f>
        <v>8.869638622622382E-2</v>
      </c>
      <c r="H75" s="242">
        <f>1-G75</f>
        <v>0.91130361377377622</v>
      </c>
      <c r="I75" s="157"/>
    </row>
    <row r="76" spans="1:9" ht="15.75" x14ac:dyDescent="0.25">
      <c r="A76" s="164"/>
      <c r="B76" s="165">
        <f>DATE(21,10,1)</f>
        <v>7945</v>
      </c>
      <c r="C76" s="226">
        <v>196390014.61000001</v>
      </c>
      <c r="D76" s="226">
        <v>18368300.02</v>
      </c>
      <c r="E76" s="226">
        <v>14284849.609999999</v>
      </c>
      <c r="F76" s="166">
        <f>(+D76-E76)/E76</f>
        <v>0.2858588309632194</v>
      </c>
      <c r="G76" s="241">
        <f>D76/C76</f>
        <v>9.3529704432664673E-2</v>
      </c>
      <c r="H76" s="242">
        <f>1-G76</f>
        <v>0.90647029556733538</v>
      </c>
      <c r="I76" s="157"/>
    </row>
    <row r="77" spans="1:9" ht="15.75" thickBot="1" x14ac:dyDescent="0.25">
      <c r="A77" s="167"/>
      <c r="B77" s="168"/>
      <c r="C77" s="226"/>
      <c r="D77" s="226"/>
      <c r="E77" s="226"/>
      <c r="F77" s="166"/>
      <c r="G77" s="241"/>
      <c r="H77" s="242"/>
      <c r="I77" s="157"/>
    </row>
    <row r="78" spans="1:9" ht="17.25" thickTop="1" thickBot="1" x14ac:dyDescent="0.3">
      <c r="A78" s="174" t="s">
        <v>14</v>
      </c>
      <c r="B78" s="175"/>
      <c r="C78" s="228">
        <f>SUM(C73:C77)</f>
        <v>773617398.67999995</v>
      </c>
      <c r="D78" s="228">
        <f>SUM(D73:D77)</f>
        <v>69919217.5</v>
      </c>
      <c r="E78" s="228">
        <f>SUM(E73:E77)</f>
        <v>54194483.210000001</v>
      </c>
      <c r="F78" s="176">
        <f>(+D78-E78)/E78</f>
        <v>0.29015378242592893</v>
      </c>
      <c r="G78" s="249">
        <f>D78/C78</f>
        <v>9.037958249039002E-2</v>
      </c>
      <c r="H78" s="270">
        <f>1-G78</f>
        <v>0.90962041750960998</v>
      </c>
      <c r="I78" s="157"/>
    </row>
    <row r="79" spans="1:9" ht="15.75" thickTop="1" x14ac:dyDescent="0.2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5.75" x14ac:dyDescent="0.25">
      <c r="A80" s="164" t="s">
        <v>55</v>
      </c>
      <c r="B80" s="165">
        <f>DATE(21,7,1)</f>
        <v>7853</v>
      </c>
      <c r="C80" s="226">
        <v>32852563.390000001</v>
      </c>
      <c r="D80" s="226">
        <v>3540868.12</v>
      </c>
      <c r="E80" s="226">
        <v>2784731.95</v>
      </c>
      <c r="F80" s="166">
        <f>(+D80-E80)/E80</f>
        <v>0.27152924718660976</v>
      </c>
      <c r="G80" s="241">
        <f>D80/C80</f>
        <v>0.10778057340505143</v>
      </c>
      <c r="H80" s="242">
        <f>1-G80</f>
        <v>0.89221942659494857</v>
      </c>
      <c r="I80" s="157"/>
    </row>
    <row r="81" spans="1:9" ht="15.75" x14ac:dyDescent="0.25">
      <c r="A81" s="164"/>
      <c r="B81" s="165">
        <f>DATE(21,8,1)</f>
        <v>7884</v>
      </c>
      <c r="C81" s="226">
        <v>29251271.52</v>
      </c>
      <c r="D81" s="226">
        <v>3115295.59</v>
      </c>
      <c r="E81" s="226">
        <v>2961173.82</v>
      </c>
      <c r="F81" s="166">
        <f>(+D81-E81)/E81</f>
        <v>5.2047525531615034E-2</v>
      </c>
      <c r="G81" s="241">
        <f>D81/C81</f>
        <v>0.10650120244755773</v>
      </c>
      <c r="H81" s="242">
        <f>1-G81</f>
        <v>0.89349879755244221</v>
      </c>
      <c r="I81" s="157"/>
    </row>
    <row r="82" spans="1:9" ht="15.75" x14ac:dyDescent="0.25">
      <c r="A82" s="164"/>
      <c r="B82" s="165">
        <f>DATE(21,9,1)</f>
        <v>7915</v>
      </c>
      <c r="C82" s="226">
        <v>28714079.039999999</v>
      </c>
      <c r="D82" s="226">
        <v>3042841.65</v>
      </c>
      <c r="E82" s="226">
        <v>2707604.99</v>
      </c>
      <c r="F82" s="166">
        <f>(+D82-E82)/E82</f>
        <v>0.1238129864725946</v>
      </c>
      <c r="G82" s="241">
        <f>D82/C82</f>
        <v>0.1059703724351105</v>
      </c>
      <c r="H82" s="242">
        <f>1-G82</f>
        <v>0.89402962756488946</v>
      </c>
      <c r="I82" s="157"/>
    </row>
    <row r="83" spans="1:9" ht="15.75" x14ac:dyDescent="0.25">
      <c r="A83" s="164"/>
      <c r="B83" s="165">
        <f>DATE(21,10,1)</f>
        <v>7945</v>
      </c>
      <c r="C83" s="226">
        <v>30764540.789999999</v>
      </c>
      <c r="D83" s="226">
        <v>3415416.93</v>
      </c>
      <c r="E83" s="226">
        <v>2777127.87</v>
      </c>
      <c r="F83" s="166">
        <f>(+D83-E83)/E83</f>
        <v>0.22983783602301325</v>
      </c>
      <c r="G83" s="241">
        <f>D83/C83</f>
        <v>0.1110179720644548</v>
      </c>
      <c r="H83" s="242">
        <f>1-G83</f>
        <v>0.88898202793554515</v>
      </c>
      <c r="I83" s="157"/>
    </row>
    <row r="84" spans="1:9" ht="15.75" thickBot="1" x14ac:dyDescent="0.25">
      <c r="A84" s="167"/>
      <c r="B84" s="168"/>
      <c r="C84" s="226"/>
      <c r="D84" s="226"/>
      <c r="E84" s="226"/>
      <c r="F84" s="166"/>
      <c r="G84" s="241"/>
      <c r="H84" s="242"/>
      <c r="I84" s="157"/>
    </row>
    <row r="85" spans="1:9" ht="17.25" thickTop="1" thickBot="1" x14ac:dyDescent="0.3">
      <c r="A85" s="182" t="s">
        <v>14</v>
      </c>
      <c r="B85" s="183"/>
      <c r="C85" s="230">
        <f>SUM(C80:C84)</f>
        <v>121582454.73999998</v>
      </c>
      <c r="D85" s="230">
        <f>SUM(D80:D84)</f>
        <v>13114422.289999999</v>
      </c>
      <c r="E85" s="230">
        <f>SUM(E80:E84)</f>
        <v>11230638.629999999</v>
      </c>
      <c r="F85" s="176">
        <f>(+D85-E85)/E85</f>
        <v>0.1677361120825237</v>
      </c>
      <c r="G85" s="249">
        <f>D85/C85</f>
        <v>0.10786443091681899</v>
      </c>
      <c r="H85" s="246">
        <f>1-G85</f>
        <v>0.89213556908318103</v>
      </c>
      <c r="I85" s="157"/>
    </row>
    <row r="86" spans="1:9" ht="15.75" thickTop="1" x14ac:dyDescent="0.2">
      <c r="A86" s="167"/>
      <c r="B86" s="168"/>
      <c r="C86" s="226"/>
      <c r="D86" s="226"/>
      <c r="E86" s="226"/>
      <c r="F86" s="166"/>
      <c r="G86" s="241"/>
      <c r="H86" s="242"/>
      <c r="I86" s="157"/>
    </row>
    <row r="87" spans="1:9" ht="15.75" x14ac:dyDescent="0.25">
      <c r="A87" s="164" t="s">
        <v>37</v>
      </c>
      <c r="B87" s="165">
        <f>DATE(21,7,1)</f>
        <v>7853</v>
      </c>
      <c r="C87" s="226">
        <v>233748610.44</v>
      </c>
      <c r="D87" s="226">
        <v>21441670.739999998</v>
      </c>
      <c r="E87" s="226">
        <v>17781520.260000002</v>
      </c>
      <c r="F87" s="166">
        <f>(+D87-E87)/E87</f>
        <v>0.20584013214177202</v>
      </c>
      <c r="G87" s="241">
        <f>D87/C87</f>
        <v>9.1729617984205203E-2</v>
      </c>
      <c r="H87" s="242">
        <f>1-G87</f>
        <v>0.9082703820157948</v>
      </c>
      <c r="I87" s="157"/>
    </row>
    <row r="88" spans="1:9" ht="15.75" x14ac:dyDescent="0.25">
      <c r="A88" s="164"/>
      <c r="B88" s="165">
        <f>DATE(21,8,1)</f>
        <v>7884</v>
      </c>
      <c r="C88" s="226">
        <v>213172987.47</v>
      </c>
      <c r="D88" s="226">
        <v>19679228.600000001</v>
      </c>
      <c r="E88" s="226">
        <v>17286123.989999998</v>
      </c>
      <c r="F88" s="166">
        <f>(+D88-E88)/E88</f>
        <v>0.13844078703730295</v>
      </c>
      <c r="G88" s="241">
        <f>D88/C88</f>
        <v>9.2315770555917526E-2</v>
      </c>
      <c r="H88" s="242">
        <f>1-G88</f>
        <v>0.90768422944408245</v>
      </c>
      <c r="I88" s="157"/>
    </row>
    <row r="89" spans="1:9" ht="15.75" x14ac:dyDescent="0.25">
      <c r="A89" s="164"/>
      <c r="B89" s="165">
        <f>DATE(21,9,1)</f>
        <v>7915</v>
      </c>
      <c r="C89" s="226">
        <v>211086159.19</v>
      </c>
      <c r="D89" s="226">
        <v>19466571.379999999</v>
      </c>
      <c r="E89" s="226">
        <v>16702603.76</v>
      </c>
      <c r="F89" s="166">
        <f>(+D89-E89)/E89</f>
        <v>0.16548124230901345</v>
      </c>
      <c r="G89" s="241">
        <f>D89/C89</f>
        <v>9.2220974860213425E-2</v>
      </c>
      <c r="H89" s="242">
        <f>1-G89</f>
        <v>0.90777902513978659</v>
      </c>
      <c r="I89" s="157"/>
    </row>
    <row r="90" spans="1:9" ht="15.75" x14ac:dyDescent="0.25">
      <c r="A90" s="164"/>
      <c r="B90" s="165">
        <f>DATE(21,10,1)</f>
        <v>7945</v>
      </c>
      <c r="C90" s="226">
        <v>221465276.75</v>
      </c>
      <c r="D90" s="226">
        <v>20992171.949999999</v>
      </c>
      <c r="E90" s="226">
        <v>17754592.84</v>
      </c>
      <c r="F90" s="166">
        <f>(+D90-E90)/E90</f>
        <v>0.18235163932939841</v>
      </c>
      <c r="G90" s="241">
        <f>D90/C90</f>
        <v>9.4787644627906661E-2</v>
      </c>
      <c r="H90" s="242">
        <f>1-G90</f>
        <v>0.90521235537209332</v>
      </c>
      <c r="I90" s="157"/>
    </row>
    <row r="91" spans="1:9" ht="15.75" thickBot="1" x14ac:dyDescent="0.25">
      <c r="A91" s="167"/>
      <c r="B91" s="168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SUM(C87:C91)</f>
        <v>879473033.8499999</v>
      </c>
      <c r="D92" s="228">
        <f>SUM(D87:D91)</f>
        <v>81579642.670000002</v>
      </c>
      <c r="E92" s="228">
        <f>SUM(E87:E91)</f>
        <v>69524840.849999994</v>
      </c>
      <c r="F92" s="176">
        <f>(+D92-E92)/E92</f>
        <v>0.17338841301353383</v>
      </c>
      <c r="G92" s="245">
        <f>D92/C92</f>
        <v>9.2759686232646854E-2</v>
      </c>
      <c r="H92" s="246">
        <f>1-G92</f>
        <v>0.90724031376735315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164" t="s">
        <v>58</v>
      </c>
      <c r="B94" s="165">
        <f>DATE(21,7,1)</f>
        <v>7853</v>
      </c>
      <c r="C94" s="226">
        <v>34083326.159999996</v>
      </c>
      <c r="D94" s="226">
        <v>3963905.07</v>
      </c>
      <c r="E94" s="226">
        <v>3357321.79</v>
      </c>
      <c r="F94" s="166">
        <f>(+D94-E94)/E94</f>
        <v>0.18067475146610829</v>
      </c>
      <c r="G94" s="241">
        <f>D94/C94</f>
        <v>0.11630041772894856</v>
      </c>
      <c r="H94" s="242">
        <f>1-G94</f>
        <v>0.88369958227105139</v>
      </c>
      <c r="I94" s="157"/>
    </row>
    <row r="95" spans="1:9" ht="15.75" x14ac:dyDescent="0.25">
      <c r="A95" s="164"/>
      <c r="B95" s="165">
        <f>DATE(21,8,1)</f>
        <v>7884</v>
      </c>
      <c r="C95" s="226">
        <v>34540166.32</v>
      </c>
      <c r="D95" s="226">
        <v>3797696.16</v>
      </c>
      <c r="E95" s="226">
        <v>3360444.04</v>
      </c>
      <c r="F95" s="166">
        <f>(+D95-E95)/E95</f>
        <v>0.13011736389456438</v>
      </c>
      <c r="G95" s="241">
        <f>D95/C95</f>
        <v>0.10995014108548161</v>
      </c>
      <c r="H95" s="242">
        <f>1-G95</f>
        <v>0.89004985891451838</v>
      </c>
      <c r="I95" s="157"/>
    </row>
    <row r="96" spans="1:9" ht="15.75" x14ac:dyDescent="0.25">
      <c r="A96" s="164"/>
      <c r="B96" s="165">
        <f>DATE(21,9,1)</f>
        <v>7915</v>
      </c>
      <c r="C96" s="226">
        <v>32245918.620000001</v>
      </c>
      <c r="D96" s="226">
        <v>3519488.37</v>
      </c>
      <c r="E96" s="226">
        <v>3031984.28</v>
      </c>
      <c r="F96" s="166">
        <f>(+D96-E96)/E96</f>
        <v>0.16078714299930352</v>
      </c>
      <c r="G96" s="241">
        <f>D96/C96</f>
        <v>0.10914523513735767</v>
      </c>
      <c r="H96" s="242">
        <f>1-G96</f>
        <v>0.89085476486264237</v>
      </c>
      <c r="I96" s="157"/>
    </row>
    <row r="97" spans="1:9" ht="15.75" x14ac:dyDescent="0.25">
      <c r="A97" s="164"/>
      <c r="B97" s="165">
        <f>DATE(21,10,1)</f>
        <v>7945</v>
      </c>
      <c r="C97" s="226">
        <v>35165394.68</v>
      </c>
      <c r="D97" s="226">
        <v>3955357.96</v>
      </c>
      <c r="E97" s="226">
        <v>2770053.1200000001</v>
      </c>
      <c r="F97" s="166">
        <f>(+D97-E97)/E97</f>
        <v>0.42789967868919415</v>
      </c>
      <c r="G97" s="241">
        <f>D97/C97</f>
        <v>0.11247870231496575</v>
      </c>
      <c r="H97" s="242">
        <f>1-G97</f>
        <v>0.88752129768503429</v>
      </c>
      <c r="I97" s="157"/>
    </row>
    <row r="98" spans="1:9" ht="15.75" thickBot="1" x14ac:dyDescent="0.25">
      <c r="A98" s="167"/>
      <c r="B98" s="168"/>
      <c r="C98" s="226"/>
      <c r="D98" s="226"/>
      <c r="E98" s="226"/>
      <c r="F98" s="166"/>
      <c r="G98" s="241"/>
      <c r="H98" s="242"/>
      <c r="I98" s="157"/>
    </row>
    <row r="99" spans="1:9" ht="17.25" thickTop="1" thickBot="1" x14ac:dyDescent="0.3">
      <c r="A99" s="169" t="s">
        <v>14</v>
      </c>
      <c r="B99" s="155"/>
      <c r="C99" s="223">
        <f>SUM(C94:C98)</f>
        <v>136034805.78</v>
      </c>
      <c r="D99" s="223">
        <f>SUM(D94:D98)</f>
        <v>15236447.560000002</v>
      </c>
      <c r="E99" s="223">
        <f>SUM(E94:E98)</f>
        <v>12519803.23</v>
      </c>
      <c r="F99" s="176">
        <f>(+D99-E99)/E99</f>
        <v>0.21698778168416963</v>
      </c>
      <c r="G99" s="245">
        <f>D99/C99</f>
        <v>0.11200403803009717</v>
      </c>
      <c r="H99" s="246">
        <f>1-G99</f>
        <v>0.88799596196990283</v>
      </c>
      <c r="I99" s="157"/>
    </row>
    <row r="100" spans="1:9" ht="16.5" thickTop="1" thickBot="1" x14ac:dyDescent="0.25">
      <c r="A100" s="171"/>
      <c r="B100" s="172"/>
      <c r="C100" s="227"/>
      <c r="D100" s="227"/>
      <c r="E100" s="227"/>
      <c r="F100" s="173"/>
      <c r="G100" s="243"/>
      <c r="H100" s="244"/>
      <c r="I100" s="157"/>
    </row>
    <row r="101" spans="1:9" ht="17.25" thickTop="1" thickBot="1" x14ac:dyDescent="0.3">
      <c r="A101" s="184" t="s">
        <v>38</v>
      </c>
      <c r="B101" s="155"/>
      <c r="C101" s="223">
        <f>C99+C92+C71+C57+C43+C29+C15+C36+C85+C22+C64+C78+C50</f>
        <v>5680921458.5900002</v>
      </c>
      <c r="D101" s="223">
        <f>D99+D92+D71+D57+D43+D29+D15+D36+D85+D22+D64+D78+D50</f>
        <v>549642074.69999993</v>
      </c>
      <c r="E101" s="223">
        <f>E99+E92+E71+E57+E43+E29+E15+E36+E85+E22+E64+E78+E50</f>
        <v>457061768.81999993</v>
      </c>
      <c r="F101" s="170">
        <f>(+D101-E101)/E101</f>
        <v>0.20255534852327578</v>
      </c>
      <c r="G101" s="236">
        <f>D101/C101</f>
        <v>9.675227490936314E-2</v>
      </c>
      <c r="H101" s="237">
        <f>1-G101</f>
        <v>0.90324772509063689</v>
      </c>
      <c r="I101" s="157"/>
    </row>
    <row r="102" spans="1:9" ht="17.25" thickTop="1" thickBot="1" x14ac:dyDescent="0.3">
      <c r="A102" s="184"/>
      <c r="B102" s="155"/>
      <c r="C102" s="223"/>
      <c r="D102" s="223"/>
      <c r="E102" s="223"/>
      <c r="F102" s="170"/>
      <c r="G102" s="236"/>
      <c r="H102" s="237"/>
      <c r="I102" s="157"/>
    </row>
    <row r="103" spans="1:9" ht="17.25" thickTop="1" thickBot="1" x14ac:dyDescent="0.3">
      <c r="A103" s="184" t="s">
        <v>39</v>
      </c>
      <c r="B103" s="155"/>
      <c r="C103" s="223">
        <f>SUM(C13+C20+C27+C34+C41+C48+C55+C62+C69+C76+C83+C90+C97)</f>
        <v>1429427036.6000001</v>
      </c>
      <c r="D103" s="223">
        <f>SUM(D13+D20+D27+D34+D41+D48+D55+D62+D69+D76+D83+D90+D97)</f>
        <v>139498951.65000001</v>
      </c>
      <c r="E103" s="223">
        <f>SUM(E13+E20+E27+E34+E41+E48+E55+E62+E69+E76+E83+E90+E97)</f>
        <v>115818205.48000002</v>
      </c>
      <c r="F103" s="170">
        <f>(+D103-E103)/E103</f>
        <v>0.20446479956978161</v>
      </c>
      <c r="G103" s="236">
        <f>D103/C103</f>
        <v>9.7590816514712617E-2</v>
      </c>
      <c r="H103" s="246">
        <f>1-G103</f>
        <v>0.90240918348528742</v>
      </c>
      <c r="I103" s="157"/>
    </row>
    <row r="104" spans="1:9" ht="16.5" thickTop="1" x14ac:dyDescent="0.25">
      <c r="A104" s="185"/>
      <c r="B104" s="186"/>
      <c r="C104" s="231"/>
      <c r="D104" s="231"/>
      <c r="E104" s="231"/>
      <c r="F104" s="187"/>
      <c r="G104" s="250"/>
      <c r="H104" s="250"/>
      <c r="I104" s="151"/>
    </row>
    <row r="105" spans="1:9" ht="16.5" customHeight="1" x14ac:dyDescent="0.3">
      <c r="A105" s="188" t="s">
        <v>49</v>
      </c>
      <c r="B105" s="189"/>
      <c r="C105" s="232"/>
      <c r="D105" s="232"/>
      <c r="E105" s="232"/>
      <c r="F105" s="190"/>
      <c r="G105" s="251"/>
      <c r="H105" s="251"/>
      <c r="I105" s="151"/>
    </row>
    <row r="106" spans="1:9" ht="15.75" x14ac:dyDescent="0.25">
      <c r="A106" s="191"/>
      <c r="B106" s="189"/>
      <c r="C106" s="232"/>
      <c r="D106" s="232"/>
      <c r="E106" s="232"/>
      <c r="F106" s="190"/>
      <c r="G106" s="257"/>
      <c r="H106" s="257"/>
      <c r="I106" s="151"/>
    </row>
    <row r="107" spans="1:9" ht="15.75" x14ac:dyDescent="0.25">
      <c r="A107" s="72"/>
      <c r="I107" s="151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2" manualBreakCount="2">
    <brk id="50" max="8" man="1"/>
    <brk id="9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2021-11-09T15:00:22Z</cp:lastPrinted>
  <dcterms:created xsi:type="dcterms:W3CDTF">2003-09-09T14:41:43Z</dcterms:created>
  <dcterms:modified xsi:type="dcterms:W3CDTF">2021-11-09T21:46:10Z</dcterms:modified>
</cp:coreProperties>
</file>