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STATS'!$A$1:$M$117</definedName>
    <definedName name="_xlnm.Print_Area" localSheetId="4">'SLOT STATS'!$A$1:$I$118</definedName>
    <definedName name="_xlnm.Print_Area" localSheetId="2">'TABLE STATS'!$A$1:$H$117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16" i="4" l="1"/>
  <c r="D116" i="4"/>
  <c r="C116" i="4"/>
  <c r="F110" i="4"/>
  <c r="G110" i="4"/>
  <c r="H110" i="4" s="1"/>
  <c r="F102" i="4"/>
  <c r="G102" i="4"/>
  <c r="H102" i="4" s="1"/>
  <c r="F94" i="4"/>
  <c r="G94" i="4"/>
  <c r="H94" i="4"/>
  <c r="F86" i="4"/>
  <c r="G86" i="4"/>
  <c r="H86" i="4" s="1"/>
  <c r="F78" i="4"/>
  <c r="G78" i="4"/>
  <c r="H78" i="4" s="1"/>
  <c r="F70" i="4"/>
  <c r="G70" i="4"/>
  <c r="H70" i="4" s="1"/>
  <c r="F62" i="4"/>
  <c r="G62" i="4"/>
  <c r="H62" i="4"/>
  <c r="F54" i="4"/>
  <c r="G54" i="4"/>
  <c r="H54" i="4" s="1"/>
  <c r="F46" i="4"/>
  <c r="G46" i="4"/>
  <c r="H46" i="4" s="1"/>
  <c r="F38" i="4"/>
  <c r="G38" i="4"/>
  <c r="H38" i="4" s="1"/>
  <c r="F30" i="4"/>
  <c r="G30" i="4"/>
  <c r="H30" i="4"/>
  <c r="F22" i="4"/>
  <c r="G22" i="4"/>
  <c r="H22" i="4" s="1"/>
  <c r="F14" i="4"/>
  <c r="G14" i="4"/>
  <c r="H14" i="4" s="1"/>
  <c r="B110" i="4"/>
  <c r="B102" i="4"/>
  <c r="B94" i="4"/>
  <c r="B86" i="4"/>
  <c r="B78" i="4"/>
  <c r="B70" i="4"/>
  <c r="B62" i="4"/>
  <c r="B54" i="4"/>
  <c r="B46" i="4"/>
  <c r="B38" i="4"/>
  <c r="B30" i="4"/>
  <c r="B22" i="4"/>
  <c r="B14" i="4"/>
  <c r="G14" i="5"/>
  <c r="H14" i="5" s="1"/>
  <c r="E116" i="5"/>
  <c r="D116" i="5"/>
  <c r="G116" i="5" s="1"/>
  <c r="H116" i="5" s="1"/>
  <c r="C116" i="5"/>
  <c r="G102" i="5"/>
  <c r="H102" i="5"/>
  <c r="B110" i="5"/>
  <c r="B102" i="5"/>
  <c r="B94" i="5"/>
  <c r="B86" i="5"/>
  <c r="B78" i="5"/>
  <c r="B70" i="5"/>
  <c r="B62" i="5"/>
  <c r="B54" i="5"/>
  <c r="B46" i="5"/>
  <c r="B38" i="5"/>
  <c r="B30" i="5"/>
  <c r="B22" i="5"/>
  <c r="B14" i="5"/>
  <c r="E115" i="3"/>
  <c r="F115" i="3" s="1"/>
  <c r="D115" i="3"/>
  <c r="C115" i="3"/>
  <c r="F109" i="3"/>
  <c r="G109" i="3"/>
  <c r="F101" i="3"/>
  <c r="G101" i="3"/>
  <c r="F93" i="3"/>
  <c r="G93" i="3"/>
  <c r="F85" i="3"/>
  <c r="G85" i="3"/>
  <c r="F77" i="3"/>
  <c r="G77" i="3"/>
  <c r="F69" i="3"/>
  <c r="G69" i="3"/>
  <c r="F61" i="3"/>
  <c r="G61" i="3"/>
  <c r="F53" i="3"/>
  <c r="G53" i="3"/>
  <c r="F45" i="3"/>
  <c r="G45" i="3"/>
  <c r="F37" i="3"/>
  <c r="G37" i="3"/>
  <c r="F29" i="3"/>
  <c r="G29" i="3"/>
  <c r="F21" i="3"/>
  <c r="G21" i="3"/>
  <c r="F13" i="3"/>
  <c r="G13" i="3"/>
  <c r="B109" i="3"/>
  <c r="B101" i="3"/>
  <c r="B93" i="3"/>
  <c r="B85" i="3"/>
  <c r="B77" i="3"/>
  <c r="B69" i="3"/>
  <c r="B61" i="3"/>
  <c r="B53" i="3"/>
  <c r="B45" i="3"/>
  <c r="B37" i="3"/>
  <c r="B29" i="3"/>
  <c r="B21" i="3"/>
  <c r="B13" i="3"/>
  <c r="N35" i="2"/>
  <c r="M35" i="2"/>
  <c r="L35" i="2"/>
  <c r="K35" i="2"/>
  <c r="J35" i="2"/>
  <c r="I35" i="2"/>
  <c r="H35" i="2"/>
  <c r="O35" i="2" s="1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35" i="2"/>
  <c r="A14" i="2"/>
  <c r="L115" i="1"/>
  <c r="K115" i="1"/>
  <c r="D115" i="1"/>
  <c r="C115" i="1"/>
  <c r="E115" i="1" s="1"/>
  <c r="M109" i="1"/>
  <c r="I109" i="1"/>
  <c r="G109" i="1"/>
  <c r="F109" i="1"/>
  <c r="H109" i="1" s="1"/>
  <c r="E109" i="1"/>
  <c r="H101" i="1"/>
  <c r="M101" i="1"/>
  <c r="I101" i="1"/>
  <c r="G101" i="1"/>
  <c r="F101" i="1"/>
  <c r="J101" i="1" s="1"/>
  <c r="E101" i="1"/>
  <c r="M93" i="1"/>
  <c r="I93" i="1"/>
  <c r="G93" i="1"/>
  <c r="H93" i="1" s="1"/>
  <c r="G95" i="1"/>
  <c r="F93" i="1"/>
  <c r="J93" i="1" s="1"/>
  <c r="E93" i="1"/>
  <c r="M85" i="1"/>
  <c r="I85" i="1"/>
  <c r="J85" i="1"/>
  <c r="G85" i="1"/>
  <c r="F85" i="1"/>
  <c r="H85" i="1" s="1"/>
  <c r="E85" i="1"/>
  <c r="H77" i="1"/>
  <c r="M77" i="1"/>
  <c r="I77" i="1"/>
  <c r="G77" i="1"/>
  <c r="F77" i="1"/>
  <c r="J77" i="1" s="1"/>
  <c r="E77" i="1"/>
  <c r="H69" i="1"/>
  <c r="M69" i="1"/>
  <c r="I69" i="1"/>
  <c r="J69" i="1"/>
  <c r="G69" i="1"/>
  <c r="F69" i="1"/>
  <c r="E69" i="1"/>
  <c r="M61" i="1"/>
  <c r="I61" i="1"/>
  <c r="J61" i="1"/>
  <c r="G61" i="1"/>
  <c r="H61" i="1" s="1"/>
  <c r="F61" i="1"/>
  <c r="E61" i="1"/>
  <c r="H53" i="1"/>
  <c r="M53" i="1"/>
  <c r="I53" i="1"/>
  <c r="G53" i="1"/>
  <c r="F53" i="1"/>
  <c r="J53" i="1" s="1"/>
  <c r="E53" i="1"/>
  <c r="M45" i="1"/>
  <c r="I45" i="1"/>
  <c r="J45" i="1"/>
  <c r="G45" i="1"/>
  <c r="F45" i="1"/>
  <c r="H45" i="1" s="1"/>
  <c r="E45" i="1"/>
  <c r="M37" i="1"/>
  <c r="I37" i="1"/>
  <c r="G37" i="1"/>
  <c r="G39" i="1" s="1"/>
  <c r="H39" i="1" s="1"/>
  <c r="F37" i="1"/>
  <c r="J37" i="1" s="1"/>
  <c r="F39" i="1"/>
  <c r="E37" i="1"/>
  <c r="M29" i="1"/>
  <c r="I29" i="1"/>
  <c r="J29" i="1"/>
  <c r="G29" i="1"/>
  <c r="F29" i="1"/>
  <c r="H29" i="1" s="1"/>
  <c r="E29" i="1"/>
  <c r="H21" i="1"/>
  <c r="M21" i="1"/>
  <c r="I21" i="1"/>
  <c r="J21" i="1"/>
  <c r="G21" i="1"/>
  <c r="F21" i="1"/>
  <c r="E21" i="1"/>
  <c r="M13" i="1"/>
  <c r="I13" i="1"/>
  <c r="G13" i="1"/>
  <c r="F13" i="1"/>
  <c r="F115" i="1" s="1"/>
  <c r="E13" i="1"/>
  <c r="B109" i="1"/>
  <c r="B101" i="1"/>
  <c r="B93" i="1"/>
  <c r="B85" i="1"/>
  <c r="B77" i="1"/>
  <c r="B69" i="1"/>
  <c r="B61" i="1"/>
  <c r="B53" i="1"/>
  <c r="B45" i="1"/>
  <c r="B37" i="1"/>
  <c r="B29" i="1"/>
  <c r="B21" i="1"/>
  <c r="B13" i="1"/>
  <c r="F109" i="4"/>
  <c r="G109" i="4"/>
  <c r="H109" i="4" s="1"/>
  <c r="F101" i="4"/>
  <c r="G101" i="4"/>
  <c r="H101" i="4" s="1"/>
  <c r="F93" i="4"/>
  <c r="G93" i="4"/>
  <c r="H93" i="4"/>
  <c r="F85" i="4"/>
  <c r="G85" i="4"/>
  <c r="H85" i="4" s="1"/>
  <c r="F77" i="4"/>
  <c r="G77" i="4"/>
  <c r="H77" i="4" s="1"/>
  <c r="F69" i="4"/>
  <c r="G69" i="4"/>
  <c r="H69" i="4" s="1"/>
  <c r="F61" i="4"/>
  <c r="G61" i="4"/>
  <c r="H61" i="4"/>
  <c r="F53" i="4"/>
  <c r="G53" i="4"/>
  <c r="H53" i="4" s="1"/>
  <c r="F45" i="4"/>
  <c r="G45" i="4"/>
  <c r="H45" i="4" s="1"/>
  <c r="F37" i="4"/>
  <c r="G37" i="4"/>
  <c r="H37" i="4" s="1"/>
  <c r="F29" i="4"/>
  <c r="G29" i="4"/>
  <c r="H29" i="4"/>
  <c r="F21" i="4"/>
  <c r="G21" i="4"/>
  <c r="H21" i="4" s="1"/>
  <c r="G13" i="4"/>
  <c r="H13" i="4"/>
  <c r="F13" i="4"/>
  <c r="B109" i="4"/>
  <c r="B101" i="4"/>
  <c r="B93" i="4"/>
  <c r="B85" i="4"/>
  <c r="B77" i="4"/>
  <c r="B69" i="4"/>
  <c r="B61" i="4"/>
  <c r="B53" i="4"/>
  <c r="B45" i="4"/>
  <c r="B37" i="4"/>
  <c r="B29" i="4"/>
  <c r="B21" i="4"/>
  <c r="B13" i="4"/>
  <c r="G101" i="5"/>
  <c r="H101" i="5" s="1"/>
  <c r="B109" i="5"/>
  <c r="B101" i="5"/>
  <c r="B93" i="5"/>
  <c r="B85" i="5"/>
  <c r="B77" i="5"/>
  <c r="B69" i="5"/>
  <c r="B61" i="5"/>
  <c r="B53" i="5"/>
  <c r="B45" i="5"/>
  <c r="B37" i="5"/>
  <c r="B29" i="5"/>
  <c r="B21" i="5"/>
  <c r="B13" i="5"/>
  <c r="F108" i="3"/>
  <c r="G108" i="3"/>
  <c r="F100" i="3"/>
  <c r="G100" i="3"/>
  <c r="F92" i="3"/>
  <c r="G92" i="3"/>
  <c r="F84" i="3"/>
  <c r="G84" i="3"/>
  <c r="F76" i="3"/>
  <c r="G76" i="3"/>
  <c r="G68" i="3"/>
  <c r="F68" i="3"/>
  <c r="F60" i="3"/>
  <c r="G60" i="3"/>
  <c r="F52" i="3"/>
  <c r="G52" i="3"/>
  <c r="F44" i="3"/>
  <c r="G44" i="3"/>
  <c r="F36" i="3"/>
  <c r="G36" i="3"/>
  <c r="F28" i="3"/>
  <c r="G28" i="3"/>
  <c r="F20" i="3"/>
  <c r="G20" i="3"/>
  <c r="G12" i="3"/>
  <c r="F12" i="3"/>
  <c r="B108" i="3"/>
  <c r="B100" i="3"/>
  <c r="B92" i="3"/>
  <c r="B84" i="3"/>
  <c r="B76" i="3"/>
  <c r="B68" i="3"/>
  <c r="B60" i="3"/>
  <c r="B52" i="3"/>
  <c r="B44" i="3"/>
  <c r="B36" i="3"/>
  <c r="B28" i="3"/>
  <c r="B20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O13" i="2" s="1"/>
  <c r="C13" i="2"/>
  <c r="B13" i="2"/>
  <c r="A13" i="2"/>
  <c r="F10" i="1"/>
  <c r="F19" i="1"/>
  <c r="J19" i="1" s="1"/>
  <c r="F99" i="1"/>
  <c r="J99" i="1" s="1"/>
  <c r="F98" i="1"/>
  <c r="J98" i="1" s="1"/>
  <c r="M115" i="1"/>
  <c r="H108" i="1"/>
  <c r="M108" i="1"/>
  <c r="I108" i="1"/>
  <c r="G108" i="1"/>
  <c r="F108" i="1"/>
  <c r="J108" i="1" s="1"/>
  <c r="E108" i="1"/>
  <c r="M100" i="1"/>
  <c r="I100" i="1"/>
  <c r="G100" i="1"/>
  <c r="G103" i="1" s="1"/>
  <c r="F100" i="1"/>
  <c r="H100" i="1" s="1"/>
  <c r="E100" i="1"/>
  <c r="M92" i="1"/>
  <c r="I92" i="1"/>
  <c r="G92" i="1"/>
  <c r="F92" i="1"/>
  <c r="H92" i="1" s="1"/>
  <c r="E92" i="1"/>
  <c r="H84" i="1"/>
  <c r="M84" i="1"/>
  <c r="I84" i="1"/>
  <c r="J84" i="1"/>
  <c r="G84" i="1"/>
  <c r="F84" i="1"/>
  <c r="E84" i="1"/>
  <c r="M76" i="1"/>
  <c r="I76" i="1"/>
  <c r="G76" i="1"/>
  <c r="F76" i="1"/>
  <c r="H76" i="1" s="1"/>
  <c r="E76" i="1"/>
  <c r="M68" i="1"/>
  <c r="I68" i="1"/>
  <c r="G68" i="1"/>
  <c r="F68" i="1"/>
  <c r="H68" i="1" s="1"/>
  <c r="E68" i="1"/>
  <c r="H60" i="1"/>
  <c r="M60" i="1"/>
  <c r="I60" i="1"/>
  <c r="J60" i="1"/>
  <c r="G60" i="1"/>
  <c r="F60" i="1"/>
  <c r="E60" i="1"/>
  <c r="M52" i="1"/>
  <c r="I52" i="1"/>
  <c r="G52" i="1"/>
  <c r="F52" i="1"/>
  <c r="H52" i="1" s="1"/>
  <c r="E52" i="1"/>
  <c r="H44" i="1"/>
  <c r="M44" i="1"/>
  <c r="I44" i="1"/>
  <c r="J44" i="1"/>
  <c r="G44" i="1"/>
  <c r="F44" i="1"/>
  <c r="E44" i="1"/>
  <c r="H36" i="1"/>
  <c r="M36" i="1"/>
  <c r="I36" i="1"/>
  <c r="J36" i="1"/>
  <c r="G36" i="1"/>
  <c r="F36" i="1"/>
  <c r="E36" i="1"/>
  <c r="M28" i="1"/>
  <c r="I28" i="1"/>
  <c r="G28" i="1"/>
  <c r="H28" i="1" s="1"/>
  <c r="F28" i="1"/>
  <c r="J28" i="1" s="1"/>
  <c r="E28" i="1"/>
  <c r="H20" i="1"/>
  <c r="M20" i="1"/>
  <c r="I20" i="1"/>
  <c r="G20" i="1"/>
  <c r="F20" i="1"/>
  <c r="J20" i="1" s="1"/>
  <c r="E20" i="1"/>
  <c r="M12" i="1"/>
  <c r="I12" i="1"/>
  <c r="E12" i="1"/>
  <c r="G12" i="1"/>
  <c r="F12" i="1"/>
  <c r="J12" i="1" s="1"/>
  <c r="B108" i="1"/>
  <c r="B100" i="1"/>
  <c r="B92" i="1"/>
  <c r="B84" i="1"/>
  <c r="B76" i="1"/>
  <c r="B68" i="1"/>
  <c r="B60" i="1"/>
  <c r="B52" i="1"/>
  <c r="B44" i="1"/>
  <c r="B36" i="1"/>
  <c r="B28" i="1"/>
  <c r="B20" i="1"/>
  <c r="B12" i="1"/>
  <c r="G107" i="1"/>
  <c r="F107" i="1"/>
  <c r="H107" i="1" s="1"/>
  <c r="G99" i="1"/>
  <c r="G91" i="1"/>
  <c r="F91" i="1"/>
  <c r="J91" i="1" s="1"/>
  <c r="G83" i="1"/>
  <c r="H83" i="1" s="1"/>
  <c r="F83" i="1"/>
  <c r="G75" i="1"/>
  <c r="F75" i="1"/>
  <c r="J75" i="1" s="1"/>
  <c r="G67" i="1"/>
  <c r="H67" i="1" s="1"/>
  <c r="F67" i="1"/>
  <c r="G59" i="1"/>
  <c r="F59" i="1"/>
  <c r="H59" i="1" s="1"/>
  <c r="G51" i="1"/>
  <c r="G55" i="1" s="1"/>
  <c r="F51" i="1"/>
  <c r="J51" i="1"/>
  <c r="G43" i="1"/>
  <c r="F43" i="1"/>
  <c r="J43" i="1"/>
  <c r="G35" i="1"/>
  <c r="F35" i="1"/>
  <c r="J35" i="1" s="1"/>
  <c r="G27" i="1"/>
  <c r="H27" i="1" s="1"/>
  <c r="F27" i="1"/>
  <c r="G19" i="1"/>
  <c r="G23" i="1" s="1"/>
  <c r="G11" i="1"/>
  <c r="F11" i="1"/>
  <c r="H11" i="1" s="1"/>
  <c r="G76" i="4"/>
  <c r="H76" i="4"/>
  <c r="F76" i="4"/>
  <c r="G68" i="4"/>
  <c r="H68" i="4" s="1"/>
  <c r="F68" i="4"/>
  <c r="G60" i="4"/>
  <c r="H60" i="4"/>
  <c r="F60" i="4"/>
  <c r="G52" i="4"/>
  <c r="H52" i="4"/>
  <c r="F52" i="4"/>
  <c r="G44" i="4"/>
  <c r="H44" i="4" s="1"/>
  <c r="F44" i="4"/>
  <c r="G36" i="4"/>
  <c r="H36" i="4" s="1"/>
  <c r="F36" i="4"/>
  <c r="G28" i="4"/>
  <c r="H28" i="4"/>
  <c r="F28" i="4"/>
  <c r="G20" i="4"/>
  <c r="H20" i="4"/>
  <c r="F20" i="4"/>
  <c r="G12" i="4"/>
  <c r="H12" i="4"/>
  <c r="F12" i="4"/>
  <c r="G84" i="4"/>
  <c r="H84" i="4" s="1"/>
  <c r="F84" i="4"/>
  <c r="G92" i="4"/>
  <c r="H92" i="4"/>
  <c r="F92" i="4"/>
  <c r="G100" i="4"/>
  <c r="H100" i="4"/>
  <c r="F100" i="4"/>
  <c r="G108" i="4"/>
  <c r="H108" i="4"/>
  <c r="F108" i="4"/>
  <c r="B108" i="4"/>
  <c r="B100" i="4"/>
  <c r="B92" i="4"/>
  <c r="B84" i="4"/>
  <c r="B76" i="4"/>
  <c r="B68" i="4"/>
  <c r="B60" i="4"/>
  <c r="B52" i="4"/>
  <c r="B44" i="4"/>
  <c r="B36" i="4"/>
  <c r="B28" i="4"/>
  <c r="B20" i="4"/>
  <c r="B12" i="4"/>
  <c r="G100" i="5"/>
  <c r="H100" i="5"/>
  <c r="B108" i="5"/>
  <c r="B100" i="5"/>
  <c r="B92" i="5"/>
  <c r="B84" i="5"/>
  <c r="B76" i="5"/>
  <c r="B68" i="5"/>
  <c r="B60" i="5"/>
  <c r="B52" i="5"/>
  <c r="B44" i="5"/>
  <c r="B36" i="5"/>
  <c r="B28" i="5"/>
  <c r="B20" i="5"/>
  <c r="B12" i="5"/>
  <c r="M107" i="1"/>
  <c r="I107" i="1"/>
  <c r="E107" i="1"/>
  <c r="M99" i="1"/>
  <c r="I99" i="1"/>
  <c r="E99" i="1"/>
  <c r="M91" i="1"/>
  <c r="I91" i="1"/>
  <c r="E91" i="1"/>
  <c r="M83" i="1"/>
  <c r="J83" i="1"/>
  <c r="I83" i="1"/>
  <c r="E83" i="1"/>
  <c r="M75" i="1"/>
  <c r="I75" i="1"/>
  <c r="E75" i="1"/>
  <c r="M67" i="1"/>
  <c r="I67" i="1"/>
  <c r="E67" i="1"/>
  <c r="M59" i="1"/>
  <c r="I59" i="1"/>
  <c r="E59" i="1"/>
  <c r="M51" i="1"/>
  <c r="I51" i="1"/>
  <c r="E51" i="1"/>
  <c r="M43" i="1"/>
  <c r="I43" i="1"/>
  <c r="H43" i="1"/>
  <c r="E43" i="1"/>
  <c r="M35" i="1"/>
  <c r="I35" i="1"/>
  <c r="E35" i="1"/>
  <c r="M27" i="1"/>
  <c r="J27" i="1"/>
  <c r="I27" i="1"/>
  <c r="E27" i="1"/>
  <c r="M19" i="1"/>
  <c r="I19" i="1"/>
  <c r="E19" i="1"/>
  <c r="I11" i="1"/>
  <c r="M11" i="1"/>
  <c r="E11" i="1"/>
  <c r="G99" i="3"/>
  <c r="F99" i="3"/>
  <c r="G91" i="3"/>
  <c r="F91" i="3"/>
  <c r="G83" i="3"/>
  <c r="F83" i="3"/>
  <c r="G75" i="3"/>
  <c r="F75" i="3"/>
  <c r="G67" i="3"/>
  <c r="F67" i="3"/>
  <c r="G59" i="3"/>
  <c r="F59" i="3"/>
  <c r="G51" i="3"/>
  <c r="F51" i="3"/>
  <c r="G43" i="3"/>
  <c r="F43" i="3"/>
  <c r="G35" i="3"/>
  <c r="F35" i="3"/>
  <c r="G27" i="3"/>
  <c r="F27" i="3"/>
  <c r="G19" i="3"/>
  <c r="F19" i="3"/>
  <c r="G11" i="3"/>
  <c r="F11" i="3"/>
  <c r="G107" i="3"/>
  <c r="F107" i="3"/>
  <c r="B91" i="3"/>
  <c r="B107" i="3"/>
  <c r="B99" i="3"/>
  <c r="B83" i="3"/>
  <c r="B75" i="3"/>
  <c r="B67" i="3"/>
  <c r="B59" i="3"/>
  <c r="B51" i="3"/>
  <c r="B43" i="3"/>
  <c r="B35" i="3"/>
  <c r="B27" i="3"/>
  <c r="B19" i="3"/>
  <c r="B11" i="3"/>
  <c r="N33" i="2"/>
  <c r="M33" i="2"/>
  <c r="L33" i="2"/>
  <c r="K33" i="2"/>
  <c r="J33" i="2"/>
  <c r="I33" i="2"/>
  <c r="H33" i="2"/>
  <c r="G33" i="2"/>
  <c r="G44" i="2" s="1"/>
  <c r="F33" i="2"/>
  <c r="E33" i="2"/>
  <c r="D33" i="2"/>
  <c r="O33" i="2" s="1"/>
  <c r="C33" i="2"/>
  <c r="B33" i="2"/>
  <c r="N12" i="2"/>
  <c r="M12" i="2"/>
  <c r="L12" i="2"/>
  <c r="K12" i="2"/>
  <c r="J12" i="2"/>
  <c r="I12" i="2"/>
  <c r="H12" i="2"/>
  <c r="G12" i="2"/>
  <c r="F12" i="2"/>
  <c r="F23" i="2" s="1"/>
  <c r="E12" i="2"/>
  <c r="D12" i="2"/>
  <c r="C12" i="2"/>
  <c r="B12" i="2"/>
  <c r="A33" i="2"/>
  <c r="A12" i="2"/>
  <c r="B107" i="1"/>
  <c r="B99" i="1"/>
  <c r="B91" i="1"/>
  <c r="B83" i="1"/>
  <c r="B75" i="1"/>
  <c r="B67" i="1"/>
  <c r="B59" i="1"/>
  <c r="B51" i="1"/>
  <c r="B43" i="1"/>
  <c r="B35" i="1"/>
  <c r="B27" i="1"/>
  <c r="B19" i="1"/>
  <c r="B11" i="1"/>
  <c r="H107" i="4"/>
  <c r="G107" i="4"/>
  <c r="F107" i="4"/>
  <c r="G99" i="4"/>
  <c r="H99" i="4"/>
  <c r="F99" i="4"/>
  <c r="G91" i="4"/>
  <c r="H91" i="4" s="1"/>
  <c r="F91" i="4"/>
  <c r="G83" i="4"/>
  <c r="H83" i="4"/>
  <c r="F83" i="4"/>
  <c r="G75" i="4"/>
  <c r="H75" i="4" s="1"/>
  <c r="F75" i="4"/>
  <c r="G67" i="4"/>
  <c r="H67" i="4"/>
  <c r="F67" i="4"/>
  <c r="G59" i="4"/>
  <c r="H59" i="4" s="1"/>
  <c r="F59" i="4"/>
  <c r="G51" i="4"/>
  <c r="H51" i="4"/>
  <c r="F51" i="4"/>
  <c r="H43" i="4"/>
  <c r="G43" i="4"/>
  <c r="F43" i="4"/>
  <c r="G35" i="4"/>
  <c r="H35" i="4"/>
  <c r="F35" i="4"/>
  <c r="G27" i="4"/>
  <c r="H27" i="4"/>
  <c r="F27" i="4"/>
  <c r="G19" i="4"/>
  <c r="H19" i="4" s="1"/>
  <c r="F19" i="4"/>
  <c r="G11" i="4"/>
  <c r="H11" i="4" s="1"/>
  <c r="F11" i="4"/>
  <c r="B107" i="4"/>
  <c r="B99" i="4"/>
  <c r="B91" i="4"/>
  <c r="B83" i="4"/>
  <c r="B75" i="4"/>
  <c r="B67" i="4"/>
  <c r="B59" i="4"/>
  <c r="B51" i="4"/>
  <c r="B43" i="4"/>
  <c r="B35" i="4"/>
  <c r="B27" i="4"/>
  <c r="B19" i="4"/>
  <c r="B11" i="4"/>
  <c r="G99" i="5"/>
  <c r="H99" i="5"/>
  <c r="G98" i="5"/>
  <c r="H98" i="5" s="1"/>
  <c r="B107" i="5"/>
  <c r="B99" i="5"/>
  <c r="B91" i="5"/>
  <c r="B83" i="5"/>
  <c r="B75" i="5"/>
  <c r="B67" i="5"/>
  <c r="B59" i="5"/>
  <c r="B51" i="5"/>
  <c r="B43" i="5"/>
  <c r="B35" i="5"/>
  <c r="B27" i="5"/>
  <c r="B19" i="5"/>
  <c r="B11" i="5"/>
  <c r="G106" i="3"/>
  <c r="F106" i="3"/>
  <c r="G98" i="3"/>
  <c r="F98" i="3"/>
  <c r="G90" i="3"/>
  <c r="F90" i="3"/>
  <c r="G82" i="3"/>
  <c r="F82" i="3"/>
  <c r="G74" i="3"/>
  <c r="F74" i="3"/>
  <c r="G66" i="3"/>
  <c r="F66" i="3"/>
  <c r="G58" i="3"/>
  <c r="F58" i="3"/>
  <c r="G50" i="3"/>
  <c r="F50" i="3"/>
  <c r="G42" i="3"/>
  <c r="F42" i="3"/>
  <c r="G34" i="3"/>
  <c r="F34" i="3"/>
  <c r="G26" i="3"/>
  <c r="F26" i="3"/>
  <c r="G18" i="3"/>
  <c r="F18" i="3"/>
  <c r="G10" i="3"/>
  <c r="F10" i="3"/>
  <c r="B106" i="3"/>
  <c r="B98" i="3"/>
  <c r="B90" i="3"/>
  <c r="B82" i="3"/>
  <c r="B74" i="3"/>
  <c r="B66" i="3"/>
  <c r="B58" i="3"/>
  <c r="B50" i="3"/>
  <c r="B42" i="3"/>
  <c r="B34" i="3"/>
  <c r="B26" i="3"/>
  <c r="B18" i="3"/>
  <c r="B10" i="3"/>
  <c r="N32" i="2"/>
  <c r="M32" i="2"/>
  <c r="L32" i="2"/>
  <c r="L44" i="2" s="1"/>
  <c r="K32" i="2"/>
  <c r="J32" i="2"/>
  <c r="J44" i="2" s="1"/>
  <c r="I32" i="2"/>
  <c r="O32" i="2" s="1"/>
  <c r="H32" i="2"/>
  <c r="G32" i="2"/>
  <c r="F32" i="2"/>
  <c r="E32" i="2"/>
  <c r="D32" i="2"/>
  <c r="C32" i="2"/>
  <c r="B32" i="2"/>
  <c r="N11" i="2"/>
  <c r="M11" i="2"/>
  <c r="L11" i="2"/>
  <c r="K11" i="2"/>
  <c r="K23" i="2" s="1"/>
  <c r="J11" i="2"/>
  <c r="I11" i="2"/>
  <c r="H11" i="2"/>
  <c r="G11" i="2"/>
  <c r="F11" i="2"/>
  <c r="E11" i="2"/>
  <c r="O11" i="2" s="1"/>
  <c r="D11" i="2"/>
  <c r="C11" i="2"/>
  <c r="B11" i="2"/>
  <c r="B10" i="2"/>
  <c r="O10" i="2" s="1"/>
  <c r="A32" i="2"/>
  <c r="A11" i="2"/>
  <c r="M106" i="1"/>
  <c r="I106" i="1"/>
  <c r="E106" i="1"/>
  <c r="G106" i="1"/>
  <c r="F106" i="1"/>
  <c r="J106" i="1" s="1"/>
  <c r="M98" i="1"/>
  <c r="I98" i="1"/>
  <c r="E98" i="1"/>
  <c r="G98" i="1"/>
  <c r="M90" i="1"/>
  <c r="J90" i="1"/>
  <c r="I90" i="1"/>
  <c r="E90" i="1"/>
  <c r="G90" i="1"/>
  <c r="F90" i="1"/>
  <c r="H90" i="1" s="1"/>
  <c r="M82" i="1"/>
  <c r="I82" i="1"/>
  <c r="H82" i="1"/>
  <c r="E82" i="1"/>
  <c r="G82" i="1"/>
  <c r="F82" i="1"/>
  <c r="F87" i="1" s="1"/>
  <c r="M74" i="1"/>
  <c r="J74" i="1"/>
  <c r="I74" i="1"/>
  <c r="E74" i="1"/>
  <c r="G74" i="1"/>
  <c r="F74" i="1"/>
  <c r="H74" i="1" s="1"/>
  <c r="M66" i="1"/>
  <c r="J66" i="1"/>
  <c r="I66" i="1"/>
  <c r="H66" i="1"/>
  <c r="E66" i="1"/>
  <c r="G66" i="1"/>
  <c r="F66" i="1"/>
  <c r="M58" i="1"/>
  <c r="J58" i="1"/>
  <c r="I58" i="1"/>
  <c r="E58" i="1"/>
  <c r="G58" i="1"/>
  <c r="H58" i="1" s="1"/>
  <c r="F58" i="1"/>
  <c r="M50" i="1"/>
  <c r="J50" i="1"/>
  <c r="I50" i="1"/>
  <c r="E50" i="1"/>
  <c r="G50" i="1"/>
  <c r="F50" i="1"/>
  <c r="H50" i="1" s="1"/>
  <c r="M42" i="1"/>
  <c r="I42" i="1"/>
  <c r="H42" i="1"/>
  <c r="E42" i="1"/>
  <c r="G42" i="1"/>
  <c r="F42" i="1"/>
  <c r="J42" i="1" s="1"/>
  <c r="M34" i="1"/>
  <c r="J34" i="1"/>
  <c r="I34" i="1"/>
  <c r="E34" i="1"/>
  <c r="G34" i="1"/>
  <c r="F34" i="1"/>
  <c r="H34" i="1" s="1"/>
  <c r="M26" i="1"/>
  <c r="J26" i="1"/>
  <c r="I26" i="1"/>
  <c r="H26" i="1"/>
  <c r="E26" i="1"/>
  <c r="G26" i="1"/>
  <c r="F26" i="1"/>
  <c r="M18" i="1"/>
  <c r="I18" i="1"/>
  <c r="E18" i="1"/>
  <c r="G18" i="1"/>
  <c r="F18" i="1"/>
  <c r="J18" i="1" s="1"/>
  <c r="M10" i="1"/>
  <c r="J10" i="1"/>
  <c r="I10" i="1"/>
  <c r="E10" i="1"/>
  <c r="G10" i="1"/>
  <c r="H10" i="1" s="1"/>
  <c r="B106" i="1"/>
  <c r="B98" i="1"/>
  <c r="B90" i="1"/>
  <c r="B82" i="1"/>
  <c r="B74" i="1"/>
  <c r="B66" i="1"/>
  <c r="B58" i="1"/>
  <c r="B50" i="1"/>
  <c r="B42" i="1"/>
  <c r="B34" i="1"/>
  <c r="B26" i="1"/>
  <c r="B18" i="1"/>
  <c r="B10" i="1"/>
  <c r="A31" i="2"/>
  <c r="A10" i="2"/>
  <c r="B106" i="4"/>
  <c r="B98" i="4"/>
  <c r="B90" i="4"/>
  <c r="B82" i="4"/>
  <c r="B74" i="4"/>
  <c r="B66" i="4"/>
  <c r="B58" i="4"/>
  <c r="B50" i="4"/>
  <c r="B42" i="4"/>
  <c r="B34" i="4"/>
  <c r="B26" i="4"/>
  <c r="B18" i="4"/>
  <c r="B10" i="4"/>
  <c r="B106" i="5"/>
  <c r="B98" i="5"/>
  <c r="B90" i="5"/>
  <c r="B82" i="5"/>
  <c r="B74" i="5"/>
  <c r="B66" i="5"/>
  <c r="B58" i="5"/>
  <c r="B50" i="5"/>
  <c r="B42" i="5"/>
  <c r="B34" i="5"/>
  <c r="B26" i="5"/>
  <c r="B18" i="5"/>
  <c r="B10" i="5"/>
  <c r="B105" i="3"/>
  <c r="B97" i="3"/>
  <c r="B89" i="3"/>
  <c r="B81" i="3"/>
  <c r="B73" i="3"/>
  <c r="B65" i="3"/>
  <c r="B57" i="3"/>
  <c r="B49" i="3"/>
  <c r="B41" i="3"/>
  <c r="B33" i="3"/>
  <c r="B25" i="3"/>
  <c r="B17" i="3"/>
  <c r="B9" i="3"/>
  <c r="G105" i="1"/>
  <c r="F105" i="1"/>
  <c r="H105" i="1" s="1"/>
  <c r="J105" i="1"/>
  <c r="G97" i="1"/>
  <c r="F97" i="1"/>
  <c r="F103" i="1" s="1"/>
  <c r="G89" i="1"/>
  <c r="F89" i="1"/>
  <c r="G81" i="1"/>
  <c r="G87" i="1" s="1"/>
  <c r="F81" i="1"/>
  <c r="G73" i="1"/>
  <c r="G79" i="1" s="1"/>
  <c r="F73" i="1"/>
  <c r="F79" i="1" s="1"/>
  <c r="H79" i="1" s="1"/>
  <c r="G65" i="1"/>
  <c r="G71" i="1" s="1"/>
  <c r="F65" i="1"/>
  <c r="F71" i="1" s="1"/>
  <c r="G57" i="1"/>
  <c r="G63" i="1" s="1"/>
  <c r="F57" i="1"/>
  <c r="J57" i="1" s="1"/>
  <c r="G49" i="1"/>
  <c r="H49" i="1" s="1"/>
  <c r="F49" i="1"/>
  <c r="F55" i="1" s="1"/>
  <c r="G41" i="1"/>
  <c r="G47" i="1" s="1"/>
  <c r="F41" i="1"/>
  <c r="H41" i="1" s="1"/>
  <c r="G33" i="1"/>
  <c r="F33" i="1"/>
  <c r="G25" i="1"/>
  <c r="G31" i="1" s="1"/>
  <c r="F25" i="1"/>
  <c r="H25" i="1" s="1"/>
  <c r="G17" i="1"/>
  <c r="F17" i="1"/>
  <c r="H17" i="1" s="1"/>
  <c r="G9" i="1"/>
  <c r="G15" i="1" s="1"/>
  <c r="F9" i="1"/>
  <c r="F15" i="1" s="1"/>
  <c r="B105" i="1"/>
  <c r="B97" i="1"/>
  <c r="B89" i="1"/>
  <c r="B81" i="1"/>
  <c r="B73" i="1"/>
  <c r="B65" i="1"/>
  <c r="B57" i="1"/>
  <c r="B49" i="1"/>
  <c r="B41" i="1"/>
  <c r="B33" i="1"/>
  <c r="B25" i="1"/>
  <c r="B17" i="1"/>
  <c r="B9" i="1"/>
  <c r="J73" i="1"/>
  <c r="J65" i="1"/>
  <c r="J97" i="1"/>
  <c r="J89" i="1"/>
  <c r="J81" i="1"/>
  <c r="J17" i="1"/>
  <c r="E112" i="5"/>
  <c r="D112" i="5"/>
  <c r="D114" i="5" s="1"/>
  <c r="C112" i="5"/>
  <c r="C114" i="5" s="1"/>
  <c r="E104" i="5"/>
  <c r="D104" i="5"/>
  <c r="G104" i="5" s="1"/>
  <c r="H104" i="5" s="1"/>
  <c r="C104" i="5"/>
  <c r="E96" i="5"/>
  <c r="D96" i="5"/>
  <c r="C96" i="5"/>
  <c r="E88" i="5"/>
  <c r="D88" i="5"/>
  <c r="C88" i="5"/>
  <c r="E80" i="5"/>
  <c r="E114" i="5" s="1"/>
  <c r="D80" i="5"/>
  <c r="C80" i="5"/>
  <c r="E72" i="5"/>
  <c r="D72" i="5"/>
  <c r="F72" i="5" s="1"/>
  <c r="C72" i="5"/>
  <c r="E64" i="5"/>
  <c r="D64" i="5"/>
  <c r="C64" i="5"/>
  <c r="E56" i="5"/>
  <c r="D56" i="5"/>
  <c r="C56" i="5"/>
  <c r="E48" i="5"/>
  <c r="D48" i="5"/>
  <c r="C48" i="5"/>
  <c r="E40" i="5"/>
  <c r="D40" i="5"/>
  <c r="C40" i="5"/>
  <c r="E32" i="5"/>
  <c r="D32" i="5"/>
  <c r="C32" i="5"/>
  <c r="E24" i="5"/>
  <c r="D24" i="5"/>
  <c r="C24" i="5"/>
  <c r="E16" i="5"/>
  <c r="D16" i="5"/>
  <c r="G16" i="5" s="1"/>
  <c r="H16" i="5" s="1"/>
  <c r="C16" i="5"/>
  <c r="L39" i="1"/>
  <c r="F50" i="4"/>
  <c r="F49" i="3"/>
  <c r="M49" i="1"/>
  <c r="E49" i="1"/>
  <c r="F106" i="4"/>
  <c r="F105" i="3"/>
  <c r="G31" i="2"/>
  <c r="G10" i="2"/>
  <c r="G23" i="2" s="1"/>
  <c r="M105" i="1"/>
  <c r="E105" i="1"/>
  <c r="E56" i="4"/>
  <c r="D56" i="4"/>
  <c r="F56" i="4" s="1"/>
  <c r="C56" i="4"/>
  <c r="G56" i="4" s="1"/>
  <c r="H56" i="4" s="1"/>
  <c r="G50" i="4"/>
  <c r="H50" i="4"/>
  <c r="E55" i="3"/>
  <c r="D55" i="3"/>
  <c r="G55" i="3" s="1"/>
  <c r="C55" i="3"/>
  <c r="G49" i="3"/>
  <c r="L55" i="1"/>
  <c r="D55" i="1"/>
  <c r="E55" i="1" s="1"/>
  <c r="C55" i="1"/>
  <c r="I49" i="1"/>
  <c r="G106" i="4"/>
  <c r="H106" i="4" s="1"/>
  <c r="G105" i="3"/>
  <c r="I105" i="1"/>
  <c r="D15" i="1"/>
  <c r="D23" i="1"/>
  <c r="D31" i="1"/>
  <c r="E31" i="1"/>
  <c r="D39" i="1"/>
  <c r="D47" i="1"/>
  <c r="D63" i="1"/>
  <c r="D71" i="1"/>
  <c r="D79" i="1"/>
  <c r="D87" i="1"/>
  <c r="D95" i="1"/>
  <c r="E95" i="1" s="1"/>
  <c r="D103" i="1"/>
  <c r="D111" i="1"/>
  <c r="C111" i="1"/>
  <c r="E111" i="1" s="1"/>
  <c r="C112" i="4"/>
  <c r="G112" i="4"/>
  <c r="H112" i="4" s="1"/>
  <c r="D112" i="4"/>
  <c r="C111" i="3"/>
  <c r="D111" i="3"/>
  <c r="E16" i="4"/>
  <c r="E24" i="4"/>
  <c r="F24" i="4"/>
  <c r="E32" i="4"/>
  <c r="E40" i="4"/>
  <c r="E48" i="4"/>
  <c r="E114" i="4" s="1"/>
  <c r="E64" i="4"/>
  <c r="E72" i="4"/>
  <c r="E80" i="4"/>
  <c r="E88" i="4"/>
  <c r="E96" i="4"/>
  <c r="E104" i="4"/>
  <c r="F104" i="4"/>
  <c r="E112" i="4"/>
  <c r="F112" i="4"/>
  <c r="D16" i="4"/>
  <c r="D114" i="4" s="1"/>
  <c r="D24" i="4"/>
  <c r="D32" i="4"/>
  <c r="G32" i="4" s="1"/>
  <c r="H32" i="4" s="1"/>
  <c r="D40" i="4"/>
  <c r="F40" i="4" s="1"/>
  <c r="D48" i="4"/>
  <c r="G48" i="4" s="1"/>
  <c r="H48" i="4" s="1"/>
  <c r="D64" i="4"/>
  <c r="D72" i="4"/>
  <c r="F72" i="4" s="1"/>
  <c r="G72" i="4"/>
  <c r="H72" i="4" s="1"/>
  <c r="D80" i="4"/>
  <c r="F80" i="4" s="1"/>
  <c r="G80" i="4"/>
  <c r="H80" i="4" s="1"/>
  <c r="D88" i="4"/>
  <c r="G88" i="4" s="1"/>
  <c r="H88" i="4" s="1"/>
  <c r="D96" i="4"/>
  <c r="F96" i="4" s="1"/>
  <c r="D104" i="4"/>
  <c r="C16" i="4"/>
  <c r="C24" i="4"/>
  <c r="C32" i="4"/>
  <c r="C40" i="4"/>
  <c r="C48" i="4"/>
  <c r="C64" i="4"/>
  <c r="C72" i="4"/>
  <c r="C80" i="4"/>
  <c r="C114" i="4" s="1"/>
  <c r="C88" i="4"/>
  <c r="C96" i="4"/>
  <c r="G96" i="4" s="1"/>
  <c r="H96" i="4" s="1"/>
  <c r="C104" i="4"/>
  <c r="G104" i="4"/>
  <c r="H104" i="4"/>
  <c r="F82" i="4"/>
  <c r="E15" i="3"/>
  <c r="E23" i="3"/>
  <c r="E31" i="3"/>
  <c r="E39" i="3"/>
  <c r="E47" i="3"/>
  <c r="E63" i="3"/>
  <c r="E71" i="3"/>
  <c r="E79" i="3"/>
  <c r="E113" i="3" s="1"/>
  <c r="E87" i="3"/>
  <c r="E95" i="3"/>
  <c r="E103" i="3"/>
  <c r="F103" i="3" s="1"/>
  <c r="E111" i="3"/>
  <c r="F111" i="3" s="1"/>
  <c r="D15" i="3"/>
  <c r="F15" i="3" s="1"/>
  <c r="D23" i="3"/>
  <c r="D31" i="3"/>
  <c r="D39" i="3"/>
  <c r="F39" i="3" s="1"/>
  <c r="D47" i="3"/>
  <c r="G47" i="3" s="1"/>
  <c r="D63" i="3"/>
  <c r="D71" i="3"/>
  <c r="G71" i="3" s="1"/>
  <c r="F71" i="3"/>
  <c r="D79" i="3"/>
  <c r="G79" i="3"/>
  <c r="D87" i="3"/>
  <c r="F87" i="3" s="1"/>
  <c r="D95" i="3"/>
  <c r="G95" i="3" s="1"/>
  <c r="D103" i="3"/>
  <c r="C15" i="3"/>
  <c r="C23" i="3"/>
  <c r="C31" i="3"/>
  <c r="G31" i="3" s="1"/>
  <c r="C39" i="3"/>
  <c r="G39" i="3"/>
  <c r="C47" i="3"/>
  <c r="C63" i="3"/>
  <c r="G63" i="3" s="1"/>
  <c r="C71" i="3"/>
  <c r="C79" i="3"/>
  <c r="C87" i="3"/>
  <c r="G87" i="3" s="1"/>
  <c r="C95" i="3"/>
  <c r="C103" i="3"/>
  <c r="F81" i="3"/>
  <c r="M81" i="1"/>
  <c r="E81" i="1"/>
  <c r="L15" i="1"/>
  <c r="L23" i="1"/>
  <c r="L31" i="1"/>
  <c r="M31" i="1" s="1"/>
  <c r="L47" i="1"/>
  <c r="L63" i="1"/>
  <c r="L71" i="1"/>
  <c r="L79" i="1"/>
  <c r="L87" i="1"/>
  <c r="M87" i="1" s="1"/>
  <c r="L95" i="1"/>
  <c r="L103" i="1"/>
  <c r="L113" i="1" s="1"/>
  <c r="K15" i="1"/>
  <c r="M15" i="1" s="1"/>
  <c r="K23" i="1"/>
  <c r="C15" i="1"/>
  <c r="E15" i="1" s="1"/>
  <c r="C23" i="1"/>
  <c r="E23" i="1"/>
  <c r="C31" i="1"/>
  <c r="C39" i="1"/>
  <c r="E39" i="1" s="1"/>
  <c r="C47" i="1"/>
  <c r="I47" i="1" s="1"/>
  <c r="C63" i="1"/>
  <c r="C71" i="1"/>
  <c r="E71" i="1" s="1"/>
  <c r="C79" i="1"/>
  <c r="E79" i="1" s="1"/>
  <c r="C87" i="1"/>
  <c r="I87" i="1" s="1"/>
  <c r="C95" i="1"/>
  <c r="C103" i="1"/>
  <c r="E89" i="1"/>
  <c r="I89" i="1"/>
  <c r="M89" i="1"/>
  <c r="K87" i="1"/>
  <c r="F98" i="4"/>
  <c r="K31" i="2"/>
  <c r="K44" i="2" s="1"/>
  <c r="K10" i="2"/>
  <c r="K39" i="1"/>
  <c r="I39" i="1" s="1"/>
  <c r="K47" i="1"/>
  <c r="K63" i="1"/>
  <c r="M63" i="1"/>
  <c r="K71" i="1"/>
  <c r="M71" i="1" s="1"/>
  <c r="K79" i="1"/>
  <c r="J79" i="1" s="1"/>
  <c r="K103" i="1"/>
  <c r="K113" i="1" s="1"/>
  <c r="I81" i="1"/>
  <c r="G82" i="4"/>
  <c r="H82" i="4" s="1"/>
  <c r="G81" i="3"/>
  <c r="F66" i="4"/>
  <c r="F65" i="3"/>
  <c r="N31" i="2"/>
  <c r="M31" i="2"/>
  <c r="L31" i="2"/>
  <c r="J31" i="2"/>
  <c r="I31" i="2"/>
  <c r="I44" i="2" s="1"/>
  <c r="H31" i="2"/>
  <c r="F31" i="2"/>
  <c r="F44" i="2" s="1"/>
  <c r="E31" i="2"/>
  <c r="O31" i="2" s="1"/>
  <c r="O44" i="2" s="1"/>
  <c r="C31" i="2"/>
  <c r="B31" i="2"/>
  <c r="M65" i="1"/>
  <c r="E65" i="1"/>
  <c r="I10" i="2"/>
  <c r="G66" i="4"/>
  <c r="H66" i="4"/>
  <c r="G74" i="4"/>
  <c r="H74" i="4"/>
  <c r="F74" i="4"/>
  <c r="G65" i="3"/>
  <c r="I65" i="1"/>
  <c r="F10" i="4"/>
  <c r="G10" i="4"/>
  <c r="H10" i="4" s="1"/>
  <c r="I9" i="1"/>
  <c r="I17" i="1"/>
  <c r="I33" i="1"/>
  <c r="I41" i="1"/>
  <c r="I57" i="1"/>
  <c r="I73" i="1"/>
  <c r="I97" i="1"/>
  <c r="E9" i="1"/>
  <c r="M9" i="1"/>
  <c r="E17" i="1"/>
  <c r="M17" i="1"/>
  <c r="E25" i="1"/>
  <c r="E33" i="1"/>
  <c r="M33" i="1"/>
  <c r="E41" i="1"/>
  <c r="M41" i="1"/>
  <c r="E57" i="1"/>
  <c r="M57" i="1"/>
  <c r="E73" i="1"/>
  <c r="M73" i="1"/>
  <c r="E97" i="1"/>
  <c r="M97" i="1"/>
  <c r="F18" i="4"/>
  <c r="G18" i="4"/>
  <c r="H18" i="4" s="1"/>
  <c r="F26" i="4"/>
  <c r="G26" i="4"/>
  <c r="H26" i="4"/>
  <c r="F34" i="4"/>
  <c r="G34" i="4"/>
  <c r="H34" i="4" s="1"/>
  <c r="F42" i="4"/>
  <c r="G42" i="4"/>
  <c r="H42" i="4" s="1"/>
  <c r="F58" i="4"/>
  <c r="G58" i="4"/>
  <c r="H58" i="4" s="1"/>
  <c r="F90" i="4"/>
  <c r="G90" i="4"/>
  <c r="H90" i="4"/>
  <c r="G98" i="4"/>
  <c r="H98" i="4"/>
  <c r="F9" i="3"/>
  <c r="F17" i="3"/>
  <c r="G17" i="3"/>
  <c r="F25" i="3"/>
  <c r="G25" i="3"/>
  <c r="F33" i="3"/>
  <c r="G33" i="3"/>
  <c r="F41" i="3"/>
  <c r="G41" i="3"/>
  <c r="F57" i="3"/>
  <c r="G57" i="3"/>
  <c r="F73" i="3"/>
  <c r="G73" i="3"/>
  <c r="F89" i="3"/>
  <c r="G89" i="3"/>
  <c r="F97" i="3"/>
  <c r="G97" i="3"/>
  <c r="G9" i="3"/>
  <c r="C10" i="2"/>
  <c r="D10" i="2"/>
  <c r="D23" i="2" s="1"/>
  <c r="E10" i="2"/>
  <c r="F10" i="2"/>
  <c r="H10" i="2"/>
  <c r="J10" i="2"/>
  <c r="J23" i="2" s="1"/>
  <c r="L10" i="2"/>
  <c r="M10" i="2"/>
  <c r="M23" i="2" s="1"/>
  <c r="N10" i="2"/>
  <c r="N23" i="2" s="1"/>
  <c r="I25" i="1"/>
  <c r="M25" i="1"/>
  <c r="K31" i="1"/>
  <c r="I31" i="1" s="1"/>
  <c r="D31" i="2"/>
  <c r="L111" i="1"/>
  <c r="K111" i="1"/>
  <c r="M111" i="1"/>
  <c r="K55" i="1"/>
  <c r="M55" i="1"/>
  <c r="K95" i="1"/>
  <c r="G111" i="1"/>
  <c r="G113" i="1" s="1"/>
  <c r="H97" i="1"/>
  <c r="H89" i="1"/>
  <c r="J9" i="1"/>
  <c r="J49" i="1"/>
  <c r="F47" i="1"/>
  <c r="J33" i="1"/>
  <c r="H33" i="1"/>
  <c r="H81" i="1"/>
  <c r="H73" i="1"/>
  <c r="F88" i="4"/>
  <c r="H75" i="1"/>
  <c r="J67" i="1"/>
  <c r="H35" i="1"/>
  <c r="G24" i="4"/>
  <c r="H24" i="4" s="1"/>
  <c r="H98" i="1"/>
  <c r="H99" i="1"/>
  <c r="I115" i="1"/>
  <c r="I23" i="1"/>
  <c r="G116" i="4"/>
  <c r="H116" i="4"/>
  <c r="F64" i="4"/>
  <c r="G64" i="4"/>
  <c r="H64" i="4"/>
  <c r="F16" i="4"/>
  <c r="F116" i="4"/>
  <c r="F31" i="3"/>
  <c r="F63" i="3"/>
  <c r="G115" i="3"/>
  <c r="G111" i="3"/>
  <c r="G103" i="3"/>
  <c r="F23" i="3"/>
  <c r="G23" i="3"/>
  <c r="G15" i="3"/>
  <c r="C113" i="3"/>
  <c r="O14" i="2"/>
  <c r="E103" i="1"/>
  <c r="I63" i="1"/>
  <c r="E63" i="1"/>
  <c r="I55" i="1"/>
  <c r="M47" i="1"/>
  <c r="J47" i="1"/>
  <c r="M39" i="1"/>
  <c r="D113" i="1"/>
  <c r="M23" i="1"/>
  <c r="E23" i="2"/>
  <c r="H23" i="2"/>
  <c r="C44" i="2"/>
  <c r="D44" i="2"/>
  <c r="O12" i="2"/>
  <c r="I23" i="2"/>
  <c r="O34" i="2"/>
  <c r="L23" i="2"/>
  <c r="C23" i="2"/>
  <c r="M44" i="2"/>
  <c r="N44" i="2"/>
  <c r="B44" i="2"/>
  <c r="J115" i="1" l="1"/>
  <c r="H115" i="1"/>
  <c r="H55" i="1"/>
  <c r="J55" i="1"/>
  <c r="H103" i="1"/>
  <c r="G114" i="4"/>
  <c r="H114" i="4" s="1"/>
  <c r="F114" i="4"/>
  <c r="H15" i="1"/>
  <c r="H71" i="1"/>
  <c r="J71" i="1"/>
  <c r="O23" i="2"/>
  <c r="F114" i="5"/>
  <c r="G114" i="5"/>
  <c r="H114" i="5" s="1"/>
  <c r="J87" i="1"/>
  <c r="H87" i="1"/>
  <c r="H47" i="1"/>
  <c r="M113" i="1"/>
  <c r="H44" i="2"/>
  <c r="I95" i="1"/>
  <c r="F95" i="3"/>
  <c r="G16" i="4"/>
  <c r="H16" i="4" s="1"/>
  <c r="F95" i="1"/>
  <c r="H95" i="1" s="1"/>
  <c r="M103" i="1"/>
  <c r="G40" i="4"/>
  <c r="H40" i="4" s="1"/>
  <c r="F55" i="3"/>
  <c r="J59" i="1"/>
  <c r="H91" i="1"/>
  <c r="H12" i="1"/>
  <c r="J52" i="1"/>
  <c r="J76" i="1"/>
  <c r="J100" i="1"/>
  <c r="F111" i="1"/>
  <c r="G115" i="1"/>
  <c r="E44" i="2"/>
  <c r="M95" i="1"/>
  <c r="D113" i="3"/>
  <c r="F79" i="3"/>
  <c r="F32" i="4"/>
  <c r="F23" i="1"/>
  <c r="J41" i="1"/>
  <c r="I111" i="1"/>
  <c r="I79" i="1"/>
  <c r="M79" i="1"/>
  <c r="F47" i="3"/>
  <c r="E87" i="1"/>
  <c r="J25" i="1"/>
  <c r="J103" i="1"/>
  <c r="J82" i="1"/>
  <c r="J11" i="1"/>
  <c r="J68" i="1"/>
  <c r="J92" i="1"/>
  <c r="J13" i="1"/>
  <c r="J109" i="1"/>
  <c r="I15" i="1"/>
  <c r="I103" i="1"/>
  <c r="F48" i="4"/>
  <c r="H65" i="1"/>
  <c r="H18" i="1"/>
  <c r="J107" i="1"/>
  <c r="H19" i="1"/>
  <c r="F116" i="5"/>
  <c r="F63" i="1"/>
  <c r="H37" i="1"/>
  <c r="C113" i="1"/>
  <c r="E113" i="1" s="1"/>
  <c r="J39" i="1"/>
  <c r="H9" i="1"/>
  <c r="H13" i="1"/>
  <c r="J15" i="1"/>
  <c r="F31" i="1"/>
  <c r="H57" i="1"/>
  <c r="E47" i="1"/>
  <c r="H106" i="1"/>
  <c r="B23" i="2"/>
  <c r="I71" i="1"/>
  <c r="H51" i="1"/>
  <c r="J23" i="1" l="1"/>
  <c r="H23" i="1"/>
  <c r="I113" i="1"/>
  <c r="H63" i="1"/>
  <c r="J63" i="1"/>
  <c r="G113" i="3"/>
  <c r="F113" i="3"/>
  <c r="J95" i="1"/>
  <c r="H111" i="1"/>
  <c r="F113" i="1"/>
  <c r="J31" i="1"/>
  <c r="H31" i="1"/>
  <c r="J111" i="1"/>
  <c r="H113" i="1" l="1"/>
  <c r="J113" i="1"/>
</calcChain>
</file>

<file path=xl/sharedStrings.xml><?xml version="1.0" encoding="utf-8"?>
<sst xmlns="http://schemas.openxmlformats.org/spreadsheetml/2006/main" count="241" uniqueCount="78">
  <si>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</si>
  <si>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</si>
  <si>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</si>
  <si>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</si>
  <si>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</si>
  <si>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</si>
  <si>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</si>
  <si>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</si>
  <si>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</si>
  <si>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</si>
  <si>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</si>
  <si>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</si>
  <si>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</si>
  <si>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</si>
  <si>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</si>
  <si>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</si>
  <si>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</si>
  <si>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</si>
  <si>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</si>
  <si>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</si>
  <si>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</si>
  <si>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</si>
  <si>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</si>
  <si>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</si>
  <si>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</si>
  <si>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</si>
  <si>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</si>
  <si>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</si>
  <si>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</si>
  <si>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</si>
  <si>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</si>
  <si>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</si>
  <si>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</si>
  <si>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</si>
  <si>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</si>
  <si>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</si>
  <si>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</si>
  <si>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</si>
  <si>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</si>
  <si>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</si>
  <si>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</si>
  <si>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</si>
  <si>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</si>
  <si>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</si>
  <si>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</si>
  <si>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</si>
  <si>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</si>
  <si>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</si>
  <si>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</si>
  <si>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</si>
  <si>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</si>
  <si>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</si>
  <si>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</si>
  <si>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</si>
  <si>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</si>
  <si>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</si>
  <si>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</si>
  <si>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</si>
  <si>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</si>
  <si>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</si>
  <si>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 xml:space="preserve">LUMIERE PLACE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</si>
  <si>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</si>
  <si>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</si>
  <si>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</si>
  <si>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</si>
  <si>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</si>
  <si>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</si>
  <si>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</si>
  <si>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</si>
  <si>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 xml:space="preserve">FISCAL 2022 YTD ADMISSIONS, PATRONS AND AGR SUMMARY </t>
  </si>
  <si>
    <t>BALLY'S KANSAS CITY</t>
  </si>
  <si>
    <t>BALLY'S KC</t>
  </si>
  <si>
    <t>MONTH ENDED:  NOVEMBER 30, 2021</t>
  </si>
  <si>
    <t>(as reported on the tax remittal database dtd 12/9/21)</t>
  </si>
  <si>
    <t>FOR THE MONTH ENDED:   NOVEMBER 30, 2021</t>
  </si>
  <si>
    <t>THRU MONTH ENDED:   NOVEMBER 30, 2021</t>
  </si>
  <si>
    <t>(as reported on the tax remittal database as of 12/9/21)</t>
  </si>
  <si>
    <t>THRU MONTH ENDED:     NOVEMBER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</si>
</sst>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1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87"/>
  <sheetViews>
    <sheetView tabSelected="1" showOutlineSymbols="0" view="pageBreakPreview" zoomScale="6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69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DATE(2021,7,1)</f>
        <v>44378</v>
      </c>
      <c r="C9" s="21">
        <v>232803</v>
      </c>
      <c r="D9" s="22">
        <v>188333</v>
      </c>
      <c r="E9" s="23">
        <f>(+C9-D9)/D9</f>
        <v>0.23612431172444553</v>
      </c>
      <c r="F9" s="21">
        <f>+C9-107437</f>
        <v>125366</v>
      </c>
      <c r="G9" s="21">
        <f>+D9-87391</f>
        <v>100942</v>
      </c>
      <c r="H9" s="23">
        <f>(+F9-G9)/G9</f>
        <v>0.24196072992411483</v>
      </c>
      <c r="I9" s="24">
        <f>K9/C9</f>
        <v>68.467668414925924</v>
      </c>
      <c r="J9" s="24">
        <f>K9/F9</f>
        <v>127.14355255810985</v>
      </c>
      <c r="K9" s="21">
        <v>15939478.609999999</v>
      </c>
      <c r="L9" s="21">
        <v>13615214.890000001</v>
      </c>
      <c r="M9" s="25">
        <f>(+K9-L9)/L9</f>
        <v>0.17071076283247694</v>
      </c>
      <c r="N9" s="10"/>
      <c r="R9" s="2"/>
    </row>
    <row r="10" spans="1:18" ht="15.75" x14ac:dyDescent="0.25">
      <c r="A10" s="19"/>
      <c r="B10" s="20">
        <f>DATE(2021,8,1)</f>
        <v>44409</v>
      </c>
      <c r="C10" s="21">
        <v>225454</v>
      </c>
      <c r="D10" s="22">
        <v>193126</v>
      </c>
      <c r="E10" s="23">
        <f>(+C10-D10)/D10</f>
        <v>0.1673933079958162</v>
      </c>
      <c r="F10" s="21">
        <f>+C10-103513</f>
        <v>121941</v>
      </c>
      <c r="G10" s="21">
        <f>+D10-88951</f>
        <v>104175</v>
      </c>
      <c r="H10" s="23">
        <f>(+F10-G10)/G10</f>
        <v>0.17053995680345571</v>
      </c>
      <c r="I10" s="24">
        <f>K10/C10</f>
        <v>66.872165142335021</v>
      </c>
      <c r="J10" s="24">
        <f>K10/F10</f>
        <v>123.63845728672062</v>
      </c>
      <c r="K10" s="21">
        <v>15076597.119999999</v>
      </c>
      <c r="L10" s="21">
        <v>12620487.539999999</v>
      </c>
      <c r="M10" s="25">
        <f>(+K10-L10)/L10</f>
        <v>0.19461289211018865</v>
      </c>
      <c r="N10" s="10"/>
      <c r="R10" s="2"/>
    </row>
    <row r="11" spans="1:18" ht="15.75" x14ac:dyDescent="0.25">
      <c r="A11" s="19"/>
      <c r="B11" s="20">
        <f>DATE(2021,9,1)</f>
        <v>44440</v>
      </c>
      <c r="C11" s="21">
        <v>206050</v>
      </c>
      <c r="D11" s="22">
        <v>196754</v>
      </c>
      <c r="E11" s="23">
        <f>(+C11-D11)/D11</f>
        <v>4.7246815820771115E-2</v>
      </c>
      <c r="F11" s="21">
        <f>+C11-93968</f>
        <v>112082</v>
      </c>
      <c r="G11" s="21">
        <f>+D11-92272</f>
        <v>104482</v>
      </c>
      <c r="H11" s="23">
        <f>(+F11-G11)/G11</f>
        <v>7.2739802071170159E-2</v>
      </c>
      <c r="I11" s="24">
        <f>K11/C11</f>
        <v>67.344978015044902</v>
      </c>
      <c r="J11" s="24">
        <f>K11/F11</f>
        <v>123.8060769793544</v>
      </c>
      <c r="K11" s="21">
        <v>13876432.720000001</v>
      </c>
      <c r="L11" s="21">
        <v>12429246.59</v>
      </c>
      <c r="M11" s="25">
        <f>(+K11-L11)/L11</f>
        <v>0.11643393825369433</v>
      </c>
      <c r="N11" s="10"/>
      <c r="R11" s="2"/>
    </row>
    <row r="12" spans="1:18" ht="15.75" x14ac:dyDescent="0.25">
      <c r="A12" s="19"/>
      <c r="B12" s="20">
        <f>DATE(2021,10,1)</f>
        <v>44470</v>
      </c>
      <c r="C12" s="21">
        <v>219538</v>
      </c>
      <c r="D12" s="22">
        <v>203827</v>
      </c>
      <c r="E12" s="23">
        <f>(+C12-D12)/D12</f>
        <v>7.7080072806841093E-2</v>
      </c>
      <c r="F12" s="21">
        <f>+C12-100658</f>
        <v>118880</v>
      </c>
      <c r="G12" s="21">
        <f>+D12-94349</f>
        <v>109478</v>
      </c>
      <c r="H12" s="23">
        <f>(+F12-G12)/G12</f>
        <v>8.5880268181735137E-2</v>
      </c>
      <c r="I12" s="24">
        <f>K12/C12</f>
        <v>69.459368810866451</v>
      </c>
      <c r="J12" s="24">
        <f>K12/F12</f>
        <v>128.27196256729476</v>
      </c>
      <c r="K12" s="21">
        <v>15248970.91</v>
      </c>
      <c r="L12" s="21">
        <v>12927551.640000001</v>
      </c>
      <c r="M12" s="25">
        <f>(+K12-L12)/L12</f>
        <v>0.17957145596055027</v>
      </c>
      <c r="N12" s="10"/>
      <c r="R12" s="2"/>
    </row>
    <row r="13" spans="1:18" ht="15.75" x14ac:dyDescent="0.25">
      <c r="A13" s="19"/>
      <c r="B13" s="20">
        <f>DATE(2021,11,1)</f>
        <v>44501</v>
      </c>
      <c r="C13" s="21">
        <v>201331</v>
      </c>
      <c r="D13" s="22">
        <v>189148</v>
      </c>
      <c r="E13" s="23">
        <f>(+C13-D13)/D13</f>
        <v>6.4409880093894728E-2</v>
      </c>
      <c r="F13" s="21">
        <f>+C13-92874</f>
        <v>108457</v>
      </c>
      <c r="G13" s="21">
        <f>+D13-86903</f>
        <v>102245</v>
      </c>
      <c r="H13" s="23">
        <f>(+F13-G13)/G13</f>
        <v>6.0756027189593623E-2</v>
      </c>
      <c r="I13" s="24">
        <f>K13/C13</f>
        <v>67.221432069576963</v>
      </c>
      <c r="J13" s="24">
        <f>K13/F13</f>
        <v>124.78455185004196</v>
      </c>
      <c r="K13" s="21">
        <v>13533758.140000001</v>
      </c>
      <c r="L13" s="21">
        <v>11277470.82</v>
      </c>
      <c r="M13" s="25">
        <f>(+K13-L13)/L13</f>
        <v>0.2000703310177131</v>
      </c>
      <c r="N13" s="10"/>
      <c r="R13" s="2"/>
    </row>
    <row r="14" spans="1:18" ht="15.75" customHeight="1" thickBot="1" x14ac:dyDescent="0.3">
      <c r="A14" s="19"/>
      <c r="B14" s="20"/>
      <c r="C14" s="21"/>
      <c r="D14" s="21"/>
      <c r="E14" s="23"/>
      <c r="F14" s="21"/>
      <c r="G14" s="21"/>
      <c r="H14" s="23"/>
      <c r="I14" s="24"/>
      <c r="J14" s="24"/>
      <c r="K14" s="21"/>
      <c r="L14" s="21"/>
      <c r="M14" s="25"/>
      <c r="N14" s="10"/>
      <c r="R14" s="2"/>
    </row>
    <row r="15" spans="1:18" ht="17.25" thickTop="1" thickBot="1" x14ac:dyDescent="0.3">
      <c r="A15" s="26" t="s">
        <v>14</v>
      </c>
      <c r="B15" s="27"/>
      <c r="C15" s="28">
        <f>SUM(C9:C14)</f>
        <v>1085176</v>
      </c>
      <c r="D15" s="28">
        <f>SUM(D9:D14)</f>
        <v>971188</v>
      </c>
      <c r="E15" s="279">
        <f>(+C15-D15)/D15</f>
        <v>0.11736965448502247</v>
      </c>
      <c r="F15" s="28">
        <f>SUM(F9:F14)</f>
        <v>586726</v>
      </c>
      <c r="G15" s="28">
        <f>SUM(G9:G14)</f>
        <v>521322</v>
      </c>
      <c r="H15" s="30">
        <f>(+F15-G15)/G15</f>
        <v>0.12545797031393266</v>
      </c>
      <c r="I15" s="31">
        <f>K15/C15</f>
        <v>67.89243173457578</v>
      </c>
      <c r="J15" s="31">
        <f>K15/F15</f>
        <v>125.57009149074696</v>
      </c>
      <c r="K15" s="28">
        <f>SUM(K9:K14)</f>
        <v>73675237.5</v>
      </c>
      <c r="L15" s="28">
        <f>SUM(L9:L14)</f>
        <v>62869971.479999997</v>
      </c>
      <c r="M15" s="32">
        <f>(+K15-L15)/L15</f>
        <v>0.1718668828001193</v>
      </c>
      <c r="N15" s="10"/>
      <c r="R15" s="2"/>
    </row>
    <row r="16" spans="1:18" ht="15.75" customHeight="1" thickTop="1" x14ac:dyDescent="0.25">
      <c r="A16" s="15"/>
      <c r="B16" s="16"/>
      <c r="C16" s="16"/>
      <c r="D16" s="16"/>
      <c r="E16" s="17"/>
      <c r="F16" s="16"/>
      <c r="G16" s="16"/>
      <c r="H16" s="17"/>
      <c r="I16" s="16"/>
      <c r="J16" s="16"/>
      <c r="K16" s="195"/>
      <c r="L16" s="195"/>
      <c r="M16" s="18"/>
      <c r="N16" s="10"/>
      <c r="R16" s="2"/>
    </row>
    <row r="17" spans="1:18" ht="15.75" x14ac:dyDescent="0.25">
      <c r="A17" s="19" t="s">
        <v>15</v>
      </c>
      <c r="B17" s="20">
        <f>DATE(2021,7,1)</f>
        <v>44378</v>
      </c>
      <c r="C17" s="21">
        <v>116107</v>
      </c>
      <c r="D17" s="21">
        <v>79471</v>
      </c>
      <c r="E17" s="23">
        <f>(+C17-D17)/D17</f>
        <v>0.46099835159995473</v>
      </c>
      <c r="F17" s="21">
        <f>+C17-56210</f>
        <v>59897</v>
      </c>
      <c r="G17" s="21">
        <f>+D17-38596</f>
        <v>40875</v>
      </c>
      <c r="H17" s="23">
        <f>(+F17-G17)/G17</f>
        <v>0.46537003058103976</v>
      </c>
      <c r="I17" s="24">
        <f>K17/C17</f>
        <v>69.409558855193922</v>
      </c>
      <c r="J17" s="24">
        <f>K17/F17</f>
        <v>134.54656577124064</v>
      </c>
      <c r="K17" s="21">
        <v>8058935.6500000004</v>
      </c>
      <c r="L17" s="21">
        <v>5613318.0300000003</v>
      </c>
      <c r="M17" s="25">
        <f>(+K17-L17)/L17</f>
        <v>0.43568128634963516</v>
      </c>
      <c r="N17" s="10"/>
      <c r="R17" s="2"/>
    </row>
    <row r="18" spans="1:18" ht="15.75" x14ac:dyDescent="0.25">
      <c r="A18" s="19"/>
      <c r="B18" s="20">
        <f>DATE(2021,8,1)</f>
        <v>44409</v>
      </c>
      <c r="C18" s="21">
        <v>103353</v>
      </c>
      <c r="D18" s="21">
        <v>88234</v>
      </c>
      <c r="E18" s="23">
        <f>(+C18-D18)/D18</f>
        <v>0.17135117981730399</v>
      </c>
      <c r="F18" s="21">
        <f>+C18-50446</f>
        <v>52907</v>
      </c>
      <c r="G18" s="21">
        <f>+D18-41802</f>
        <v>46432</v>
      </c>
      <c r="H18" s="23">
        <f>(+F18-G18)/G18</f>
        <v>0.13945124052377669</v>
      </c>
      <c r="I18" s="24">
        <f>K18/C18</f>
        <v>69.568823449730544</v>
      </c>
      <c r="J18" s="24">
        <f>K18/F18</f>
        <v>135.90161245203848</v>
      </c>
      <c r="K18" s="21">
        <v>7190146.6100000003</v>
      </c>
      <c r="L18" s="21">
        <v>5994552.2300000004</v>
      </c>
      <c r="M18" s="25">
        <f>(+K18-L18)/L18</f>
        <v>0.19944682006715952</v>
      </c>
      <c r="N18" s="10"/>
      <c r="R18" s="2"/>
    </row>
    <row r="19" spans="1:18" ht="15.75" x14ac:dyDescent="0.25">
      <c r="A19" s="19"/>
      <c r="B19" s="20">
        <f>DATE(2021,9,1)</f>
        <v>44440</v>
      </c>
      <c r="C19" s="21">
        <v>103596</v>
      </c>
      <c r="D19" s="21">
        <v>90948</v>
      </c>
      <c r="E19" s="23">
        <f>(+C19-D19)/D19</f>
        <v>0.13906847869112021</v>
      </c>
      <c r="F19" s="21">
        <f>+C19-49808</f>
        <v>53788</v>
      </c>
      <c r="G19" s="21">
        <f>+D19-42310</f>
        <v>48638</v>
      </c>
      <c r="H19" s="23">
        <f>(+F19-G19)/G19</f>
        <v>0.10588428800526338</v>
      </c>
      <c r="I19" s="24">
        <f>K19/C19</f>
        <v>73.648616838487982</v>
      </c>
      <c r="J19" s="24">
        <f>K19/F19</f>
        <v>141.84766323343499</v>
      </c>
      <c r="K19" s="21">
        <v>7629702.1100000003</v>
      </c>
      <c r="L19" s="21">
        <v>5908744.6600000001</v>
      </c>
      <c r="M19" s="25">
        <f>(+K19-L19)/L19</f>
        <v>0.29125601951464258</v>
      </c>
      <c r="N19" s="10"/>
      <c r="R19" s="2"/>
    </row>
    <row r="20" spans="1:18" ht="15.75" x14ac:dyDescent="0.25">
      <c r="A20" s="19"/>
      <c r="B20" s="20">
        <f>DATE(2021,10,1)</f>
        <v>44470</v>
      </c>
      <c r="C20" s="21">
        <v>110079</v>
      </c>
      <c r="D20" s="21">
        <v>87099</v>
      </c>
      <c r="E20" s="23">
        <f>(+C20-D20)/D20</f>
        <v>0.26383770192539524</v>
      </c>
      <c r="F20" s="21">
        <f>+C20-53226</f>
        <v>56853</v>
      </c>
      <c r="G20" s="21">
        <f>+D20-41806</f>
        <v>45293</v>
      </c>
      <c r="H20" s="23">
        <f>(+F20-G20)/G20</f>
        <v>0.25522707703177089</v>
      </c>
      <c r="I20" s="24">
        <f>K20/C20</f>
        <v>71.212890378728005</v>
      </c>
      <c r="J20" s="24">
        <f>K20/F20</f>
        <v>137.88267567234797</v>
      </c>
      <c r="K20" s="21">
        <v>7839043.7599999998</v>
      </c>
      <c r="L20" s="21">
        <v>5716409.8899999997</v>
      </c>
      <c r="M20" s="25">
        <f>(+K20-L20)/L20</f>
        <v>0.37132289511170802</v>
      </c>
      <c r="N20" s="10"/>
      <c r="R20" s="2"/>
    </row>
    <row r="21" spans="1:18" ht="15.75" x14ac:dyDescent="0.25">
      <c r="A21" s="19"/>
      <c r="B21" s="20">
        <f>DATE(2021,11,1)</f>
        <v>44501</v>
      </c>
      <c r="C21" s="21">
        <v>95314</v>
      </c>
      <c r="D21" s="21">
        <v>77783</v>
      </c>
      <c r="E21" s="23">
        <f>(+C21-D21)/D21</f>
        <v>0.22538343854055515</v>
      </c>
      <c r="F21" s="21">
        <f>+C21-46228</f>
        <v>49086</v>
      </c>
      <c r="G21" s="21">
        <f>+D21-37695</f>
        <v>40088</v>
      </c>
      <c r="H21" s="23">
        <f>(+F21-G21)/G21</f>
        <v>0.22445619636799041</v>
      </c>
      <c r="I21" s="24">
        <f>K21/C21</f>
        <v>71.301824915542312</v>
      </c>
      <c r="J21" s="24">
        <f>K21/F21</f>
        <v>138.45214806665851</v>
      </c>
      <c r="K21" s="21">
        <v>6796062.1399999997</v>
      </c>
      <c r="L21" s="21">
        <v>5349459.87</v>
      </c>
      <c r="M21" s="25">
        <f>(+K21-L21)/L21</f>
        <v>0.27042024898861416</v>
      </c>
      <c r="N21" s="10"/>
      <c r="R21" s="2"/>
    </row>
    <row r="22" spans="1:18" ht="15.75" customHeight="1" thickBot="1" x14ac:dyDescent="0.3">
      <c r="A22" s="19"/>
      <c r="B22" s="20"/>
      <c r="C22" s="21"/>
      <c r="D22" s="21"/>
      <c r="E22" s="23"/>
      <c r="F22" s="21"/>
      <c r="G22" s="21"/>
      <c r="H22" s="23"/>
      <c r="I22" s="24"/>
      <c r="J22" s="24"/>
      <c r="K22" s="21"/>
      <c r="L22" s="21"/>
      <c r="M22" s="25"/>
      <c r="N22" s="10"/>
      <c r="R22" s="2"/>
    </row>
    <row r="23" spans="1:18" ht="17.25" customHeight="1" thickTop="1" thickBot="1" x14ac:dyDescent="0.3">
      <c r="A23" s="26" t="s">
        <v>14</v>
      </c>
      <c r="B23" s="27"/>
      <c r="C23" s="28">
        <f>SUM(C17:C22)</f>
        <v>528449</v>
      </c>
      <c r="D23" s="28">
        <f>SUM(D17:D22)</f>
        <v>423535</v>
      </c>
      <c r="E23" s="279">
        <f>(+C23-D23)/D23</f>
        <v>0.2477103427107559</v>
      </c>
      <c r="F23" s="28">
        <f>SUM(F17:F22)</f>
        <v>272531</v>
      </c>
      <c r="G23" s="28">
        <f>SUM(G17:G22)</f>
        <v>221326</v>
      </c>
      <c r="H23" s="30">
        <f>(+F23-G23)/G23</f>
        <v>0.23135555696122462</v>
      </c>
      <c r="I23" s="31">
        <f>K23/C23</f>
        <v>70.988667345382439</v>
      </c>
      <c r="J23" s="31">
        <f>K23/F23</f>
        <v>137.64999310170219</v>
      </c>
      <c r="K23" s="28">
        <f>SUM(K17:K22)</f>
        <v>37513890.270000003</v>
      </c>
      <c r="L23" s="28">
        <f>SUM(L17:L22)</f>
        <v>28582484.680000003</v>
      </c>
      <c r="M23" s="32">
        <f>(+K23-L23)/L23</f>
        <v>0.31247827786817861</v>
      </c>
      <c r="N23" s="10"/>
      <c r="R23" s="2"/>
    </row>
    <row r="24" spans="1:18" ht="15.75" customHeight="1" thickTop="1" x14ac:dyDescent="0.25">
      <c r="A24" s="33"/>
      <c r="B24" s="34"/>
      <c r="C24" s="35"/>
      <c r="D24" s="35"/>
      <c r="E24" s="29"/>
      <c r="F24" s="35"/>
      <c r="G24" s="35"/>
      <c r="H24" s="29"/>
      <c r="I24" s="36"/>
      <c r="J24" s="36"/>
      <c r="K24" s="35"/>
      <c r="L24" s="35"/>
      <c r="M24" s="37"/>
      <c r="N24" s="10"/>
      <c r="R24" s="2"/>
    </row>
    <row r="25" spans="1:18" ht="15.75" customHeight="1" x14ac:dyDescent="0.25">
      <c r="A25" s="19" t="s">
        <v>64</v>
      </c>
      <c r="B25" s="20">
        <f>DATE(2021,7,1)</f>
        <v>44378</v>
      </c>
      <c r="C25" s="21">
        <v>66837</v>
      </c>
      <c r="D25" s="21">
        <v>53105</v>
      </c>
      <c r="E25" s="23">
        <f>(+C25-D25)/D25</f>
        <v>0.25858205442048771</v>
      </c>
      <c r="F25" s="21">
        <f>+C25-37212</f>
        <v>29625</v>
      </c>
      <c r="G25" s="21">
        <f>+D25-28880</f>
        <v>24225</v>
      </c>
      <c r="H25" s="23">
        <f>(+F25-G25)/G25</f>
        <v>0.22291021671826625</v>
      </c>
      <c r="I25" s="24">
        <f>K25/C25</f>
        <v>68.824348040755865</v>
      </c>
      <c r="J25" s="24">
        <f>K25/F25</f>
        <v>155.27469873417724</v>
      </c>
      <c r="K25" s="21">
        <v>4600012.95</v>
      </c>
      <c r="L25" s="21">
        <v>3467756.6</v>
      </c>
      <c r="M25" s="25">
        <f>(+K25-L25)/L25</f>
        <v>0.32650975273178057</v>
      </c>
      <c r="N25" s="10"/>
      <c r="R25" s="2"/>
    </row>
    <row r="26" spans="1:18" ht="15.75" customHeight="1" x14ac:dyDescent="0.25">
      <c r="A26" s="19"/>
      <c r="B26" s="20">
        <f>DATE(2021,8,1)</f>
        <v>44409</v>
      </c>
      <c r="C26" s="21">
        <v>56112</v>
      </c>
      <c r="D26" s="21">
        <v>52610</v>
      </c>
      <c r="E26" s="23">
        <f>(+C26-D26)/D26</f>
        <v>6.6565291769625543E-2</v>
      </c>
      <c r="F26" s="21">
        <f>+C26-31048</f>
        <v>25064</v>
      </c>
      <c r="G26" s="21">
        <f>+D26-28661</f>
        <v>23949</v>
      </c>
      <c r="H26" s="23">
        <f>(+F26-G26)/G26</f>
        <v>4.6557267526827845E-2</v>
      </c>
      <c r="I26" s="24">
        <f>K26/C26</f>
        <v>68.400653870829771</v>
      </c>
      <c r="J26" s="24">
        <f>K26/F26</f>
        <v>153.13188198212578</v>
      </c>
      <c r="K26" s="21">
        <v>3838097.49</v>
      </c>
      <c r="L26" s="21">
        <v>3296321</v>
      </c>
      <c r="M26" s="25">
        <f>(+K26-L26)/L26</f>
        <v>0.16435792812653871</v>
      </c>
      <c r="N26" s="10"/>
      <c r="R26" s="2"/>
    </row>
    <row r="27" spans="1:18" ht="15.75" customHeight="1" x14ac:dyDescent="0.25">
      <c r="A27" s="19"/>
      <c r="B27" s="20">
        <f>DATE(2021,9,1)</f>
        <v>44440</v>
      </c>
      <c r="C27" s="21">
        <v>58084</v>
      </c>
      <c r="D27" s="21">
        <v>50852</v>
      </c>
      <c r="E27" s="23">
        <f>(+C27-D27)/D27</f>
        <v>0.14221662864784079</v>
      </c>
      <c r="F27" s="21">
        <f>+C27-32339</f>
        <v>25745</v>
      </c>
      <c r="G27" s="21">
        <f>+D27-27986</f>
        <v>22866</v>
      </c>
      <c r="H27" s="23">
        <f>(+F27-G27)/G27</f>
        <v>0.12590746085891716</v>
      </c>
      <c r="I27" s="24">
        <f>K27/C27</f>
        <v>70.357005199366441</v>
      </c>
      <c r="J27" s="24">
        <f>K27/F27</f>
        <v>158.73436744999029</v>
      </c>
      <c r="K27" s="21">
        <v>4086616.29</v>
      </c>
      <c r="L27" s="21">
        <v>3100357.68</v>
      </c>
      <c r="M27" s="25">
        <f>(+K27-L27)/L27</f>
        <v>0.31811123483016962</v>
      </c>
      <c r="N27" s="10"/>
      <c r="R27" s="2"/>
    </row>
    <row r="28" spans="1:18" ht="15.75" customHeight="1" x14ac:dyDescent="0.25">
      <c r="A28" s="19"/>
      <c r="B28" s="20">
        <f>DATE(2021,10,1)</f>
        <v>44470</v>
      </c>
      <c r="C28" s="21">
        <v>57860</v>
      </c>
      <c r="D28" s="21">
        <v>51263</v>
      </c>
      <c r="E28" s="23">
        <f>(+C28-D28)/D28</f>
        <v>0.12868930807795095</v>
      </c>
      <c r="F28" s="21">
        <f>+C28-32287</f>
        <v>25573</v>
      </c>
      <c r="G28" s="21">
        <f>+D28-28269</f>
        <v>22994</v>
      </c>
      <c r="H28" s="23">
        <f>(+F28-G28)/G28</f>
        <v>0.11215969383317387</v>
      </c>
      <c r="I28" s="24">
        <f>K28/C28</f>
        <v>70.911935879709645</v>
      </c>
      <c r="J28" s="24">
        <f>K28/F28</f>
        <v>160.44127048058499</v>
      </c>
      <c r="K28" s="21">
        <v>4102964.61</v>
      </c>
      <c r="L28" s="21">
        <v>3378391.93</v>
      </c>
      <c r="M28" s="25">
        <f>(+K28-L28)/L28</f>
        <v>0.21447265297013648</v>
      </c>
      <c r="N28" s="10"/>
      <c r="R28" s="2"/>
    </row>
    <row r="29" spans="1:18" ht="15.75" customHeight="1" x14ac:dyDescent="0.25">
      <c r="A29" s="19"/>
      <c r="B29" s="20">
        <f>DATE(2021,11,1)</f>
        <v>44501</v>
      </c>
      <c r="C29" s="21">
        <v>51753</v>
      </c>
      <c r="D29" s="21">
        <v>45747</v>
      </c>
      <c r="E29" s="23">
        <f>(+C29-D29)/D29</f>
        <v>0.13128729752770674</v>
      </c>
      <c r="F29" s="21">
        <f>+C29-28958</f>
        <v>22795</v>
      </c>
      <c r="G29" s="21">
        <f>+D29-25343</f>
        <v>20404</v>
      </c>
      <c r="H29" s="23">
        <f>(+F29-G29)/G29</f>
        <v>0.11718290531268379</v>
      </c>
      <c r="I29" s="24">
        <f>K29/C29</f>
        <v>71.423434003825861</v>
      </c>
      <c r="J29" s="24">
        <f>K29/F29</f>
        <v>162.15735819258609</v>
      </c>
      <c r="K29" s="21">
        <v>3696376.98</v>
      </c>
      <c r="L29" s="21">
        <v>3048022.62</v>
      </c>
      <c r="M29" s="25">
        <f>(+K29-L29)/L29</f>
        <v>0.21271310644013522</v>
      </c>
      <c r="N29" s="10"/>
      <c r="R29" s="2"/>
    </row>
    <row r="30" spans="1:18" ht="15.75" customHeight="1" thickBot="1" x14ac:dyDescent="0.25">
      <c r="A30" s="38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customHeight="1" thickTop="1" thickBot="1" x14ac:dyDescent="0.3">
      <c r="A31" s="39" t="s">
        <v>14</v>
      </c>
      <c r="B31" s="40"/>
      <c r="C31" s="41">
        <f>SUM(C25:C30)</f>
        <v>290646</v>
      </c>
      <c r="D31" s="41">
        <f>SUM(D25:D30)</f>
        <v>253577</v>
      </c>
      <c r="E31" s="280">
        <f>(+C31-D31)/D31</f>
        <v>0.14618439369501177</v>
      </c>
      <c r="F31" s="41">
        <f>SUM(F25:F30)</f>
        <v>128802</v>
      </c>
      <c r="G31" s="41">
        <f>SUM(G25:G30)</f>
        <v>114438</v>
      </c>
      <c r="H31" s="42">
        <f>(+F31-G31)/G31</f>
        <v>0.12551774760132123</v>
      </c>
      <c r="I31" s="43">
        <f>K31/C31</f>
        <v>69.927225284366557</v>
      </c>
      <c r="J31" s="43">
        <f>K31/F31</f>
        <v>157.79311128709182</v>
      </c>
      <c r="K31" s="41">
        <f>SUM(K25:K30)</f>
        <v>20324068.32</v>
      </c>
      <c r="L31" s="41">
        <f>SUM(L25:L30)</f>
        <v>16290849.829999998</v>
      </c>
      <c r="M31" s="44">
        <f>(+K31-L31)/L31</f>
        <v>0.24757569630116727</v>
      </c>
      <c r="N31" s="10"/>
      <c r="R31" s="2"/>
    </row>
    <row r="32" spans="1:18" ht="15.75" customHeight="1" thickTop="1" x14ac:dyDescent="0.2">
      <c r="A32" s="38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customHeight="1" x14ac:dyDescent="0.25">
      <c r="A33" s="177" t="s">
        <v>59</v>
      </c>
      <c r="B33" s="20">
        <f>DATE(2021,7,1)</f>
        <v>44378</v>
      </c>
      <c r="C33" s="21">
        <v>337225</v>
      </c>
      <c r="D33" s="21">
        <v>226236</v>
      </c>
      <c r="E33" s="23">
        <f>(+C33-D33)/D33</f>
        <v>0.49058947293976202</v>
      </c>
      <c r="F33" s="21">
        <f>+C33-176904</f>
        <v>160321</v>
      </c>
      <c r="G33" s="21">
        <f>+D33-121061</f>
        <v>105175</v>
      </c>
      <c r="H33" s="23">
        <f>(+F33-G33)/G33</f>
        <v>0.52432612312811977</v>
      </c>
      <c r="I33" s="24">
        <f>K33/C33</f>
        <v>57.210146252502042</v>
      </c>
      <c r="J33" s="24">
        <f>K33/F33</f>
        <v>120.33789441183626</v>
      </c>
      <c r="K33" s="21">
        <v>19292691.57</v>
      </c>
      <c r="L33" s="21">
        <v>14578930.949999999</v>
      </c>
      <c r="M33" s="25">
        <f>(+K33-L33)/L33</f>
        <v>0.32332690484414439</v>
      </c>
      <c r="N33" s="10"/>
      <c r="R33" s="2"/>
    </row>
    <row r="34" spans="1:18" ht="15.75" customHeight="1" x14ac:dyDescent="0.25">
      <c r="A34" s="177"/>
      <c r="B34" s="20">
        <f>DATE(2021,8,1)</f>
        <v>44409</v>
      </c>
      <c r="C34" s="21">
        <v>302300</v>
      </c>
      <c r="D34" s="21">
        <v>248866</v>
      </c>
      <c r="E34" s="23">
        <f>(+C34-D34)/D34</f>
        <v>0.21470992421624488</v>
      </c>
      <c r="F34" s="21">
        <f>+C34-157033</f>
        <v>145267</v>
      </c>
      <c r="G34" s="21">
        <f>+D34-132898</f>
        <v>115968</v>
      </c>
      <c r="H34" s="23">
        <f>(+F34-G34)/G34</f>
        <v>0.25264728200883002</v>
      </c>
      <c r="I34" s="24">
        <f>K34/C34</f>
        <v>58.274154581541517</v>
      </c>
      <c r="J34" s="24">
        <f>K34/F34</f>
        <v>121.26826416185369</v>
      </c>
      <c r="K34" s="21">
        <v>17616276.93</v>
      </c>
      <c r="L34" s="21">
        <v>15099078.17</v>
      </c>
      <c r="M34" s="25">
        <f>(+K34-L34)/L34</f>
        <v>0.16671208213236238</v>
      </c>
      <c r="N34" s="10"/>
      <c r="R34" s="2"/>
    </row>
    <row r="35" spans="1:18" ht="15.75" customHeight="1" x14ac:dyDescent="0.25">
      <c r="A35" s="177"/>
      <c r="B35" s="20">
        <f>DATE(2021,9,1)</f>
        <v>44440</v>
      </c>
      <c r="C35" s="21">
        <v>336142</v>
      </c>
      <c r="D35" s="21">
        <v>249571</v>
      </c>
      <c r="E35" s="23">
        <f>(+C35-D35)/D35</f>
        <v>0.34687924478404941</v>
      </c>
      <c r="F35" s="21">
        <f>+C35-171648</f>
        <v>164494</v>
      </c>
      <c r="G35" s="21">
        <f>+D35-130815</f>
        <v>118756</v>
      </c>
      <c r="H35" s="23">
        <f>(+F35-G35)/G35</f>
        <v>0.38514264542423121</v>
      </c>
      <c r="I35" s="24">
        <f>K35/C35</f>
        <v>57.682278977336964</v>
      </c>
      <c r="J35" s="24">
        <f>K35/F35</f>
        <v>117.87321495008938</v>
      </c>
      <c r="K35" s="21">
        <v>19389436.620000001</v>
      </c>
      <c r="L35" s="21">
        <v>14932529.18</v>
      </c>
      <c r="M35" s="25">
        <f>(+K35-L35)/L35</f>
        <v>0.29846969567415249</v>
      </c>
      <c r="N35" s="10"/>
      <c r="R35" s="2"/>
    </row>
    <row r="36" spans="1:18" ht="15.75" customHeight="1" x14ac:dyDescent="0.25">
      <c r="A36" s="177"/>
      <c r="B36" s="20">
        <f>DATE(2021,10,1)</f>
        <v>44470</v>
      </c>
      <c r="C36" s="21">
        <v>333807</v>
      </c>
      <c r="D36" s="21">
        <v>272084</v>
      </c>
      <c r="E36" s="23">
        <f>(+C36-D36)/D36</f>
        <v>0.22685273665485658</v>
      </c>
      <c r="F36" s="21">
        <f>+C36-175822</f>
        <v>157985</v>
      </c>
      <c r="G36" s="21">
        <f>+D36-143559</f>
        <v>128525</v>
      </c>
      <c r="H36" s="23">
        <f>(+F36-G36)/G36</f>
        <v>0.22921610581598911</v>
      </c>
      <c r="I36" s="24">
        <f>K36/C36</f>
        <v>57.441650354845763</v>
      </c>
      <c r="J36" s="24">
        <f>K36/F36</f>
        <v>121.36864246605691</v>
      </c>
      <c r="K36" s="21">
        <v>19174424.98</v>
      </c>
      <c r="L36" s="21">
        <v>15864682.439999999</v>
      </c>
      <c r="M36" s="25">
        <f>(+K36-L36)/L36</f>
        <v>0.20862330856715219</v>
      </c>
      <c r="N36" s="10"/>
      <c r="R36" s="2"/>
    </row>
    <row r="37" spans="1:18" ht="15.75" customHeight="1" x14ac:dyDescent="0.25">
      <c r="A37" s="177"/>
      <c r="B37" s="20">
        <f>DATE(2021,11,1)</f>
        <v>44501</v>
      </c>
      <c r="C37" s="21">
        <v>303436</v>
      </c>
      <c r="D37" s="21">
        <v>232899</v>
      </c>
      <c r="E37" s="23">
        <f>(+C37-D37)/D37</f>
        <v>0.30286519049029836</v>
      </c>
      <c r="F37" s="21">
        <f>+C37-164494</f>
        <v>138942</v>
      </c>
      <c r="G37" s="21">
        <f>+D37-123557</f>
        <v>109342</v>
      </c>
      <c r="H37" s="23">
        <f>(+F37-G37)/G37</f>
        <v>0.27071024857785664</v>
      </c>
      <c r="I37" s="24">
        <f>K37/C37</f>
        <v>62.070287111614974</v>
      </c>
      <c r="J37" s="24">
        <f>K37/F37</f>
        <v>135.55555296454637</v>
      </c>
      <c r="K37" s="21">
        <v>18834359.640000001</v>
      </c>
      <c r="L37" s="21">
        <v>13569514.189999999</v>
      </c>
      <c r="M37" s="25">
        <f>(+K37-L37)/L37</f>
        <v>0.38799071037339777</v>
      </c>
      <c r="N37" s="10"/>
      <c r="R37" s="2"/>
    </row>
    <row r="38" spans="1:18" ht="15.75" thickBot="1" x14ac:dyDescent="0.25">
      <c r="A38" s="38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7.25" thickTop="1" thickBot="1" x14ac:dyDescent="0.3">
      <c r="A39" s="39" t="s">
        <v>14</v>
      </c>
      <c r="B39" s="40"/>
      <c r="C39" s="41">
        <f>SUM(C33:C38)</f>
        <v>1612910</v>
      </c>
      <c r="D39" s="41">
        <f>SUM(D33:D38)</f>
        <v>1229656</v>
      </c>
      <c r="E39" s="280">
        <f>(+C39-D39)/D39</f>
        <v>0.31167578574820926</v>
      </c>
      <c r="F39" s="41">
        <f>SUM(F33:F38)</f>
        <v>767009</v>
      </c>
      <c r="G39" s="41">
        <f>SUM(G33:G38)</f>
        <v>577766</v>
      </c>
      <c r="H39" s="42">
        <f>(+F39-G39)/G39</f>
        <v>0.32754263836916675</v>
      </c>
      <c r="I39" s="43">
        <f>K39/C39</f>
        <v>58.470212063909337</v>
      </c>
      <c r="J39" s="43">
        <f>K39/F39</f>
        <v>122.95447607524815</v>
      </c>
      <c r="K39" s="41">
        <f>SUM(K33:K38)</f>
        <v>94307189.74000001</v>
      </c>
      <c r="L39" s="41">
        <f>SUM(L33:L38)</f>
        <v>74044734.929999992</v>
      </c>
      <c r="M39" s="44">
        <f>(+K39-L39)/L39</f>
        <v>0.27365152740644727</v>
      </c>
      <c r="N39" s="10"/>
      <c r="R39" s="2"/>
    </row>
    <row r="40" spans="1:18" ht="15.75" thickTop="1" x14ac:dyDescent="0.2">
      <c r="A40" s="38"/>
      <c r="B40" s="45"/>
      <c r="C40" s="21"/>
      <c r="D40" s="21"/>
      <c r="E40" s="23"/>
      <c r="F40" s="21"/>
      <c r="G40" s="21"/>
      <c r="H40" s="23"/>
      <c r="I40" s="24"/>
      <c r="J40" s="24"/>
      <c r="K40" s="21"/>
      <c r="L40" s="21"/>
      <c r="M40" s="25"/>
      <c r="N40" s="10"/>
      <c r="R40" s="2"/>
    </row>
    <row r="41" spans="1:18" ht="15.75" x14ac:dyDescent="0.25">
      <c r="A41" s="19" t="s">
        <v>62</v>
      </c>
      <c r="B41" s="20">
        <f>DATE(2021,7,1)</f>
        <v>44378</v>
      </c>
      <c r="C41" s="21">
        <v>256229</v>
      </c>
      <c r="D41" s="21">
        <v>260785</v>
      </c>
      <c r="E41" s="23">
        <f>(+C41-D41)/D41</f>
        <v>-1.7470329965297085E-2</v>
      </c>
      <c r="F41" s="21">
        <f>+C41-120621</f>
        <v>135608</v>
      </c>
      <c r="G41" s="21">
        <f>+D41-121006</f>
        <v>139779</v>
      </c>
      <c r="H41" s="23">
        <f>(+F41-G41)/G41</f>
        <v>-2.9839961653753425E-2</v>
      </c>
      <c r="I41" s="24">
        <f>K41/C41</f>
        <v>63.268857818591961</v>
      </c>
      <c r="J41" s="24">
        <f>K41/F41</f>
        <v>119.54542630228305</v>
      </c>
      <c r="K41" s="21">
        <v>16211316.17</v>
      </c>
      <c r="L41" s="21">
        <v>15798872.49</v>
      </c>
      <c r="M41" s="25">
        <f>(+K41-L41)/L41</f>
        <v>2.610589333264501E-2</v>
      </c>
      <c r="N41" s="10"/>
      <c r="R41" s="2"/>
    </row>
    <row r="42" spans="1:18" ht="15.75" x14ac:dyDescent="0.25">
      <c r="A42" s="19"/>
      <c r="B42" s="20">
        <f>DATE(2021,8,1)</f>
        <v>44409</v>
      </c>
      <c r="C42" s="21">
        <v>232853</v>
      </c>
      <c r="D42" s="21">
        <v>267898</v>
      </c>
      <c r="E42" s="23">
        <f>(+C42-D42)/D42</f>
        <v>-0.13081471306243422</v>
      </c>
      <c r="F42" s="21">
        <f>+C42-112411</f>
        <v>120442</v>
      </c>
      <c r="G42" s="21">
        <f>+D42-127416</f>
        <v>140482</v>
      </c>
      <c r="H42" s="23">
        <f>(+F42-G42)/G42</f>
        <v>-0.14265172762346778</v>
      </c>
      <c r="I42" s="24">
        <f>K42/C42</f>
        <v>57.49918424929033</v>
      </c>
      <c r="J42" s="24">
        <f>K42/F42</f>
        <v>111.16435753308647</v>
      </c>
      <c r="K42" s="21">
        <v>13388857.550000001</v>
      </c>
      <c r="L42" s="21">
        <v>15592345.880000001</v>
      </c>
      <c r="M42" s="25">
        <f>(+K42-L42)/L42</f>
        <v>-0.14131858970793945</v>
      </c>
      <c r="N42" s="10"/>
      <c r="R42" s="2"/>
    </row>
    <row r="43" spans="1:18" ht="15.75" x14ac:dyDescent="0.25">
      <c r="A43" s="19"/>
      <c r="B43" s="20">
        <f>DATE(2021,9,1)</f>
        <v>44440</v>
      </c>
      <c r="C43" s="21">
        <v>224419</v>
      </c>
      <c r="D43" s="21">
        <v>245708</v>
      </c>
      <c r="E43" s="23">
        <f>(+C43-D43)/D43</f>
        <v>-8.6643495531281034E-2</v>
      </c>
      <c r="F43" s="21">
        <f>+C43-105923</f>
        <v>118496</v>
      </c>
      <c r="G43" s="21">
        <f>+D43-116526</f>
        <v>129182</v>
      </c>
      <c r="H43" s="23">
        <f>(+F43-G43)/G43</f>
        <v>-8.2720502856435105E-2</v>
      </c>
      <c r="I43" s="24">
        <f>K43/C43</f>
        <v>64.566015711682169</v>
      </c>
      <c r="J43" s="24">
        <f>K43/F43</f>
        <v>122.28126417769376</v>
      </c>
      <c r="K43" s="21">
        <v>14489840.68</v>
      </c>
      <c r="L43" s="21">
        <v>14701173.800000001</v>
      </c>
      <c r="M43" s="25">
        <f>(+K43-L43)/L43</f>
        <v>-1.4375254852099024E-2</v>
      </c>
      <c r="N43" s="10"/>
      <c r="R43" s="2"/>
    </row>
    <row r="44" spans="1:18" ht="15.75" x14ac:dyDescent="0.25">
      <c r="A44" s="19"/>
      <c r="B44" s="20">
        <f>DATE(2021,10,1)</f>
        <v>44470</v>
      </c>
      <c r="C44" s="21">
        <v>231892</v>
      </c>
      <c r="D44" s="21">
        <v>252286</v>
      </c>
      <c r="E44" s="23">
        <f>(+C44-D44)/D44</f>
        <v>-8.0836828044362347E-2</v>
      </c>
      <c r="F44" s="21">
        <f>+C44-109202</f>
        <v>122690</v>
      </c>
      <c r="G44" s="21">
        <f>+D44-116651</f>
        <v>135635</v>
      </c>
      <c r="H44" s="23">
        <f>(+F44-G44)/G44</f>
        <v>-9.5439967559995578E-2</v>
      </c>
      <c r="I44" s="24">
        <f>K44/C44</f>
        <v>64.297012272954646</v>
      </c>
      <c r="J44" s="24">
        <f>K44/F44</f>
        <v>121.52549327573558</v>
      </c>
      <c r="K44" s="21">
        <v>14909962.77</v>
      </c>
      <c r="L44" s="21">
        <v>14952748.380000001</v>
      </c>
      <c r="M44" s="25">
        <f>(+K44-L44)/L44</f>
        <v>-2.8613876802226551E-3</v>
      </c>
      <c r="N44" s="10"/>
      <c r="R44" s="2"/>
    </row>
    <row r="45" spans="1:18" ht="15.75" x14ac:dyDescent="0.25">
      <c r="A45" s="19"/>
      <c r="B45" s="20">
        <f>DATE(2021,11,1)</f>
        <v>44501</v>
      </c>
      <c r="C45" s="21">
        <v>219677</v>
      </c>
      <c r="D45" s="21">
        <v>229647</v>
      </c>
      <c r="E45" s="23">
        <f>(+C45-D45)/D45</f>
        <v>-4.3414457841818098E-2</v>
      </c>
      <c r="F45" s="21">
        <f>+C45-102367</f>
        <v>117310</v>
      </c>
      <c r="G45" s="21">
        <f>+D45-106423</f>
        <v>123224</v>
      </c>
      <c r="H45" s="23">
        <f>(+F45-G45)/G45</f>
        <v>-4.7993897292735184E-2</v>
      </c>
      <c r="I45" s="24">
        <f>K45/C45</f>
        <v>68.640731255434119</v>
      </c>
      <c r="J45" s="24">
        <f>K45/F45</f>
        <v>128.53797562015174</v>
      </c>
      <c r="K45" s="21">
        <v>15078789.92</v>
      </c>
      <c r="L45" s="21">
        <v>12504979.640000001</v>
      </c>
      <c r="M45" s="25">
        <f>(+K45-L45)/L45</f>
        <v>0.20582282851281788</v>
      </c>
      <c r="N45" s="10"/>
      <c r="R45" s="2"/>
    </row>
    <row r="46" spans="1:18" ht="15.75" thickBot="1" x14ac:dyDescent="0.25">
      <c r="A46" s="38"/>
      <c r="B46" s="20"/>
      <c r="C46" s="21"/>
      <c r="D46" s="21"/>
      <c r="E46" s="23"/>
      <c r="F46" s="21"/>
      <c r="G46" s="21"/>
      <c r="H46" s="23"/>
      <c r="I46" s="24"/>
      <c r="J46" s="24"/>
      <c r="K46" s="21"/>
      <c r="L46" s="21"/>
      <c r="M46" s="25"/>
      <c r="N46" s="10"/>
      <c r="R46" s="2"/>
    </row>
    <row r="47" spans="1:18" ht="17.25" thickTop="1" thickBot="1" x14ac:dyDescent="0.3">
      <c r="A47" s="39" t="s">
        <v>14</v>
      </c>
      <c r="B47" s="40"/>
      <c r="C47" s="41">
        <f>SUM(C41:C46)</f>
        <v>1165070</v>
      </c>
      <c r="D47" s="41">
        <f>SUM(D41:D46)</f>
        <v>1256324</v>
      </c>
      <c r="E47" s="281">
        <f>(+C47-D47)/D47</f>
        <v>-7.2635721358503061E-2</v>
      </c>
      <c r="F47" s="47">
        <f>SUM(F41:F46)</f>
        <v>614546</v>
      </c>
      <c r="G47" s="48">
        <f>SUM(G41:G46)</f>
        <v>668302</v>
      </c>
      <c r="H47" s="49">
        <f>(+F47-G47)/G47</f>
        <v>-8.043668880236779E-2</v>
      </c>
      <c r="I47" s="50">
        <f>K47/C47</f>
        <v>63.583104096749551</v>
      </c>
      <c r="J47" s="51">
        <f>K47/F47</f>
        <v>120.54226549355134</v>
      </c>
      <c r="K47" s="48">
        <f>SUM(K41:K46)</f>
        <v>74078767.090000004</v>
      </c>
      <c r="L47" s="47">
        <f>SUM(L41:L46)</f>
        <v>73550120.189999998</v>
      </c>
      <c r="M47" s="44">
        <f>(+K47-L47)/L47</f>
        <v>7.1875735707075256E-3</v>
      </c>
      <c r="N47" s="10"/>
      <c r="R47" s="2"/>
    </row>
    <row r="48" spans="1:18" ht="15.75" customHeight="1" thickTop="1" x14ac:dyDescent="0.25">
      <c r="A48" s="273"/>
      <c r="B48" s="45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5.75" x14ac:dyDescent="0.25">
      <c r="A49" s="274" t="s">
        <v>63</v>
      </c>
      <c r="B49" s="20">
        <f>DATE(2021,7,1)</f>
        <v>44378</v>
      </c>
      <c r="C49" s="21">
        <v>104293</v>
      </c>
      <c r="D49" s="21">
        <v>75978</v>
      </c>
      <c r="E49" s="23">
        <f>(+C49-D49)/D49</f>
        <v>0.37267366869356922</v>
      </c>
      <c r="F49" s="21">
        <f>+C49-51816</f>
        <v>52477</v>
      </c>
      <c r="G49" s="21">
        <f>+D49-36462</f>
        <v>39516</v>
      </c>
      <c r="H49" s="23">
        <f>(+F49-G49)/G49</f>
        <v>0.3279937240611398</v>
      </c>
      <c r="I49" s="24">
        <f>K49/C49</f>
        <v>62.066719147018496</v>
      </c>
      <c r="J49" s="24">
        <f>K49/F49</f>
        <v>123.35164624502163</v>
      </c>
      <c r="K49" s="21">
        <v>6473124.3399999999</v>
      </c>
      <c r="L49" s="21">
        <v>5007129.57</v>
      </c>
      <c r="M49" s="25">
        <f>(+K49-L49)/L49</f>
        <v>0.29278147279899519</v>
      </c>
      <c r="N49" s="10"/>
      <c r="R49" s="2"/>
    </row>
    <row r="50" spans="1:18" ht="15.75" x14ac:dyDescent="0.25">
      <c r="A50" s="274"/>
      <c r="B50" s="20">
        <f>DATE(2021,8,1)</f>
        <v>44409</v>
      </c>
      <c r="C50" s="21">
        <v>93122</v>
      </c>
      <c r="D50" s="21">
        <v>75051</v>
      </c>
      <c r="E50" s="23">
        <f>(+C50-D50)/D50</f>
        <v>0.24078293427136213</v>
      </c>
      <c r="F50" s="21">
        <f>+C50-46288</f>
        <v>46834</v>
      </c>
      <c r="G50" s="21">
        <f>+D50-37094</f>
        <v>37957</v>
      </c>
      <c r="H50" s="23">
        <f>(+F50-G50)/G50</f>
        <v>0.23386990541929026</v>
      </c>
      <c r="I50" s="24">
        <f>K50/C50</f>
        <v>62.998181632696891</v>
      </c>
      <c r="J50" s="24">
        <f>K50/F50</f>
        <v>125.2619180509886</v>
      </c>
      <c r="K50" s="21">
        <v>5866516.6699999999</v>
      </c>
      <c r="L50" s="21">
        <v>4962926.8</v>
      </c>
      <c r="M50" s="25">
        <f>(+K50-L50)/L50</f>
        <v>0.18206794224730458</v>
      </c>
      <c r="N50" s="10"/>
      <c r="R50" s="2"/>
    </row>
    <row r="51" spans="1:18" ht="15.75" x14ac:dyDescent="0.25">
      <c r="A51" s="274"/>
      <c r="B51" s="20">
        <f>DATE(2021,9,1)</f>
        <v>44440</v>
      </c>
      <c r="C51" s="21">
        <v>92204</v>
      </c>
      <c r="D51" s="21">
        <v>76058</v>
      </c>
      <c r="E51" s="23">
        <f>(+C51-D51)/D51</f>
        <v>0.21228536117173735</v>
      </c>
      <c r="F51" s="21">
        <f>+C51-46055</f>
        <v>46149</v>
      </c>
      <c r="G51" s="21">
        <f>+D51-37383</f>
        <v>38675</v>
      </c>
      <c r="H51" s="23">
        <f>(+F51-G51)/G51</f>
        <v>0.19325145442792502</v>
      </c>
      <c r="I51" s="24">
        <f>K51/C51</f>
        <v>64.955611036397556</v>
      </c>
      <c r="J51" s="24">
        <f>K51/F51</f>
        <v>129.7789152527682</v>
      </c>
      <c r="K51" s="21">
        <v>5989167.1600000001</v>
      </c>
      <c r="L51" s="21">
        <v>4981639.0599999996</v>
      </c>
      <c r="M51" s="25">
        <f>(+K51-L51)/L51</f>
        <v>0.20224831383107081</v>
      </c>
      <c r="N51" s="10"/>
      <c r="R51" s="2"/>
    </row>
    <row r="52" spans="1:18" ht="15.75" x14ac:dyDescent="0.25">
      <c r="A52" s="274"/>
      <c r="B52" s="20">
        <f>DATE(2021,10,1)</f>
        <v>44470</v>
      </c>
      <c r="C52" s="21">
        <v>93325</v>
      </c>
      <c r="D52" s="21">
        <v>79279</v>
      </c>
      <c r="E52" s="23">
        <f>(+C52-D52)/D52</f>
        <v>0.17717176049142899</v>
      </c>
      <c r="F52" s="21">
        <f>+C52-46461</f>
        <v>46864</v>
      </c>
      <c r="G52" s="21">
        <f>+D52-39288</f>
        <v>39991</v>
      </c>
      <c r="H52" s="23">
        <f>(+F52-G52)/G52</f>
        <v>0.17186366932559827</v>
      </c>
      <c r="I52" s="24">
        <f>K52/C52</f>
        <v>61.770488186445213</v>
      </c>
      <c r="J52" s="24">
        <f>K52/F52</f>
        <v>123.0097902441106</v>
      </c>
      <c r="K52" s="21">
        <v>5764730.8099999996</v>
      </c>
      <c r="L52" s="21">
        <v>4994174.3899999997</v>
      </c>
      <c r="M52" s="25">
        <f>(+K52-L52)/L52</f>
        <v>0.15429105189897063</v>
      </c>
      <c r="N52" s="10"/>
      <c r="R52" s="2"/>
    </row>
    <row r="53" spans="1:18" ht="15.75" x14ac:dyDescent="0.25">
      <c r="A53" s="274"/>
      <c r="B53" s="20">
        <f>DATE(2021,11,1)</f>
        <v>44501</v>
      </c>
      <c r="C53" s="21">
        <v>87600</v>
      </c>
      <c r="D53" s="21">
        <v>73436</v>
      </c>
      <c r="E53" s="23">
        <f>(+C53-D53)/D53</f>
        <v>0.19287542894493165</v>
      </c>
      <c r="F53" s="21">
        <f>+C53-43575</f>
        <v>44025</v>
      </c>
      <c r="G53" s="21">
        <f>+D53-36298</f>
        <v>37138</v>
      </c>
      <c r="H53" s="23">
        <f>(+F53-G53)/G53</f>
        <v>0.18544348107060155</v>
      </c>
      <c r="I53" s="24">
        <f>K53/C53</f>
        <v>64.904013127853872</v>
      </c>
      <c r="J53" s="24">
        <f>K53/F53</f>
        <v>129.14461215218626</v>
      </c>
      <c r="K53" s="21">
        <v>5685591.5499999998</v>
      </c>
      <c r="L53" s="21">
        <v>4495841.55</v>
      </c>
      <c r="M53" s="25">
        <f>(+K53-L53)/L53</f>
        <v>0.26463343664769501</v>
      </c>
      <c r="N53" s="10"/>
      <c r="R53" s="2"/>
    </row>
    <row r="54" spans="1:18" ht="15.75" customHeight="1" thickBot="1" x14ac:dyDescent="0.3">
      <c r="A54" s="19"/>
      <c r="B54" s="20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45" customHeight="1" thickTop="1" thickBot="1" x14ac:dyDescent="0.3">
      <c r="A55" s="39" t="s">
        <v>14</v>
      </c>
      <c r="B55" s="52"/>
      <c r="C55" s="47">
        <f>SUM(C49:C54)</f>
        <v>470544</v>
      </c>
      <c r="D55" s="48">
        <f>SUM(D49:D54)</f>
        <v>379802</v>
      </c>
      <c r="E55" s="281">
        <f>(+C55-D55)/D55</f>
        <v>0.23891922633372126</v>
      </c>
      <c r="F55" s="48">
        <f>SUM(F49:F54)</f>
        <v>236349</v>
      </c>
      <c r="G55" s="47">
        <f>SUM(G49:G54)</f>
        <v>193277</v>
      </c>
      <c r="H55" s="46">
        <f>(+F55-G55)/G55</f>
        <v>0.22285114110835744</v>
      </c>
      <c r="I55" s="51">
        <f>K55/C55</f>
        <v>63.286601316773776</v>
      </c>
      <c r="J55" s="50">
        <f>K55/F55</f>
        <v>125.99643125208908</v>
      </c>
      <c r="K55" s="47">
        <f>SUM(K49:K54)</f>
        <v>29779130.530000001</v>
      </c>
      <c r="L55" s="48">
        <f>SUM(L49:L54)</f>
        <v>24441711.370000001</v>
      </c>
      <c r="M55" s="44">
        <f>(+K55-L55)/L55</f>
        <v>0.2183733814380609</v>
      </c>
      <c r="N55" s="10"/>
      <c r="R55" s="2"/>
    </row>
    <row r="56" spans="1:18" ht="15.75" customHeight="1" thickTop="1" x14ac:dyDescent="0.25">
      <c r="A56" s="19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70</v>
      </c>
      <c r="B57" s="20">
        <f>DATE(2021,7,1)</f>
        <v>44378</v>
      </c>
      <c r="C57" s="21">
        <v>224693</v>
      </c>
      <c r="D57" s="21">
        <v>89782</v>
      </c>
      <c r="E57" s="23">
        <f>(+C57-D57)/D57</f>
        <v>1.502650865429596</v>
      </c>
      <c r="F57" s="21">
        <f>+C57-121301</f>
        <v>103392</v>
      </c>
      <c r="G57" s="21">
        <f>+D57-42122</f>
        <v>47660</v>
      </c>
      <c r="H57" s="23">
        <f>(+F57-G57)/G57</f>
        <v>1.1693663449433487</v>
      </c>
      <c r="I57" s="24">
        <f>K57/C57</f>
        <v>42.343524586880768</v>
      </c>
      <c r="J57" s="24">
        <f>K57/F57</f>
        <v>92.021564240947072</v>
      </c>
      <c r="K57" s="21">
        <v>9514293.5700000003</v>
      </c>
      <c r="L57" s="21">
        <v>4552159.55</v>
      </c>
      <c r="M57" s="25">
        <f>(+K57-L57)/L57</f>
        <v>1.0900615335418111</v>
      </c>
      <c r="N57" s="10"/>
      <c r="R57" s="2"/>
    </row>
    <row r="58" spans="1:18" ht="15.75" x14ac:dyDescent="0.25">
      <c r="A58" s="19"/>
      <c r="B58" s="20">
        <f>DATE(2021,8,1)</f>
        <v>44409</v>
      </c>
      <c r="C58" s="21">
        <v>253687</v>
      </c>
      <c r="D58" s="21">
        <v>90766</v>
      </c>
      <c r="E58" s="23">
        <f>(+C58-D58)/D58</f>
        <v>1.794956261155058</v>
      </c>
      <c r="F58" s="21">
        <f>+C58-139919</f>
        <v>113768</v>
      </c>
      <c r="G58" s="21">
        <f>+D58-42451</f>
        <v>48315</v>
      </c>
      <c r="H58" s="23">
        <f>(+F58-G58)/G58</f>
        <v>1.3547138569802339</v>
      </c>
      <c r="I58" s="24">
        <f>K58/C58</f>
        <v>37.330805047164418</v>
      </c>
      <c r="J58" s="24">
        <f>K58/F58</f>
        <v>83.242563286688693</v>
      </c>
      <c r="K58" s="21">
        <v>9470339.9399999995</v>
      </c>
      <c r="L58" s="21">
        <v>4403282.5999999996</v>
      </c>
      <c r="M58" s="25">
        <f>(+K58-L58)/L58</f>
        <v>1.1507454325098281</v>
      </c>
      <c r="N58" s="10"/>
      <c r="R58" s="2"/>
    </row>
    <row r="59" spans="1:18" ht="15.75" x14ac:dyDescent="0.25">
      <c r="A59" s="19"/>
      <c r="B59" s="20">
        <f>DATE(2021,9,1)</f>
        <v>44440</v>
      </c>
      <c r="C59" s="21">
        <v>235921</v>
      </c>
      <c r="D59" s="21">
        <v>113899</v>
      </c>
      <c r="E59" s="23">
        <f>(+C59-D59)/D59</f>
        <v>1.0713175708302971</v>
      </c>
      <c r="F59" s="21">
        <f>+C59-117745</f>
        <v>118176</v>
      </c>
      <c r="G59" s="21">
        <f>+D59-56486</f>
        <v>57413</v>
      </c>
      <c r="H59" s="23">
        <f>(+F59-G59)/G59</f>
        <v>1.058349154372703</v>
      </c>
      <c r="I59" s="24">
        <f>K59/C59</f>
        <v>42.602001220747624</v>
      </c>
      <c r="J59" s="24">
        <f>K59/F59</f>
        <v>85.048628570945041</v>
      </c>
      <c r="K59" s="21">
        <v>10050706.73</v>
      </c>
      <c r="L59" s="21">
        <v>5356117.45</v>
      </c>
      <c r="M59" s="25">
        <f>(+K59-L59)/L59</f>
        <v>0.87649110084395188</v>
      </c>
      <c r="N59" s="10"/>
      <c r="R59" s="2"/>
    </row>
    <row r="60" spans="1:18" ht="15.75" x14ac:dyDescent="0.25">
      <c r="A60" s="19"/>
      <c r="B60" s="20">
        <f>DATE(2021,10,1)</f>
        <v>44470</v>
      </c>
      <c r="C60" s="21">
        <v>221800</v>
      </c>
      <c r="D60" s="21">
        <v>133252</v>
      </c>
      <c r="E60" s="23">
        <f>(+C60-D60)/D60</f>
        <v>0.66451535436616338</v>
      </c>
      <c r="F60" s="21">
        <f>+C60-108912</f>
        <v>112888</v>
      </c>
      <c r="G60" s="21">
        <f>+D60-63794</f>
        <v>69458</v>
      </c>
      <c r="H60" s="23">
        <f>(+F60-G60)/G60</f>
        <v>0.62526994730628582</v>
      </c>
      <c r="I60" s="24">
        <f>K60/C60</f>
        <v>46.884752795311094</v>
      </c>
      <c r="J60" s="24">
        <f>K60/F60</f>
        <v>92.118189444405076</v>
      </c>
      <c r="K60" s="21">
        <v>10399038.17</v>
      </c>
      <c r="L60" s="21">
        <v>6129955.3200000003</v>
      </c>
      <c r="M60" s="25">
        <f>(+K60-L60)/L60</f>
        <v>0.69642968458047416</v>
      </c>
      <c r="N60" s="10"/>
      <c r="R60" s="2"/>
    </row>
    <row r="61" spans="1:18" ht="15.75" x14ac:dyDescent="0.25">
      <c r="A61" s="19"/>
      <c r="B61" s="20">
        <f>DATE(2021,11,1)</f>
        <v>44501</v>
      </c>
      <c r="C61" s="21">
        <v>201900</v>
      </c>
      <c r="D61" s="21">
        <v>128642</v>
      </c>
      <c r="E61" s="23">
        <f>(+C61-D61)/D61</f>
        <v>0.56947186766374902</v>
      </c>
      <c r="F61" s="21">
        <f>+C61-97808</f>
        <v>104092</v>
      </c>
      <c r="G61" s="21">
        <f>+D61-61517</f>
        <v>67125</v>
      </c>
      <c r="H61" s="23">
        <f>(+F61-G61)/G61</f>
        <v>0.55071880819366847</v>
      </c>
      <c r="I61" s="24">
        <f>K61/C61</f>
        <v>47.579443684992569</v>
      </c>
      <c r="J61" s="24">
        <f>K61/F61</f>
        <v>92.286531914076008</v>
      </c>
      <c r="K61" s="21">
        <v>9606289.6799999997</v>
      </c>
      <c r="L61" s="21">
        <v>5762849.3099999996</v>
      </c>
      <c r="M61" s="25">
        <f>(+K61-L61)/L61</f>
        <v>0.66693403961312336</v>
      </c>
      <c r="N61" s="10"/>
      <c r="R61" s="2"/>
    </row>
    <row r="62" spans="1:18" ht="15.75" customHeight="1" thickBot="1" x14ac:dyDescent="0.3">
      <c r="A62" s="19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45" customHeight="1" thickTop="1" thickBot="1" x14ac:dyDescent="0.3">
      <c r="A63" s="39" t="s">
        <v>14</v>
      </c>
      <c r="B63" s="52"/>
      <c r="C63" s="47">
        <f>SUM(C57:C62)</f>
        <v>1138001</v>
      </c>
      <c r="D63" s="48">
        <f>SUM(D57:D62)</f>
        <v>556341</v>
      </c>
      <c r="E63" s="281">
        <f>(+C63-D63)/D63</f>
        <v>1.0455098581625297</v>
      </c>
      <c r="F63" s="48">
        <f>SUM(F57:F62)</f>
        <v>552316</v>
      </c>
      <c r="G63" s="47">
        <f>SUM(G57:G62)</f>
        <v>289971</v>
      </c>
      <c r="H63" s="53">
        <f>(+F63-G63)/G63</f>
        <v>0.90472840387487019</v>
      </c>
      <c r="I63" s="51">
        <f>K63/C63</f>
        <v>43.093695075839122</v>
      </c>
      <c r="J63" s="50">
        <f>K63/F63</f>
        <v>88.790960410344795</v>
      </c>
      <c r="K63" s="47">
        <f>SUM(K57:K62)</f>
        <v>49040668.089999996</v>
      </c>
      <c r="L63" s="48">
        <f>SUM(L57:L62)</f>
        <v>26204364.229999997</v>
      </c>
      <c r="M63" s="44">
        <f>(+K63-L63)/L63</f>
        <v>0.87146948727937146</v>
      </c>
      <c r="N63" s="10"/>
      <c r="R63" s="2"/>
    </row>
    <row r="64" spans="1:18" ht="15.75" customHeight="1" thickTop="1" x14ac:dyDescent="0.25">
      <c r="A64" s="19"/>
      <c r="B64" s="45"/>
      <c r="C64" s="21"/>
      <c r="D64" s="21"/>
      <c r="E64" s="23"/>
      <c r="F64" s="21"/>
      <c r="G64" s="21"/>
      <c r="H64" s="23"/>
      <c r="I64" s="24"/>
      <c r="J64" s="24"/>
      <c r="K64" s="21"/>
      <c r="L64" s="21"/>
      <c r="M64" s="25"/>
      <c r="N64" s="10"/>
      <c r="R64" s="2"/>
    </row>
    <row r="65" spans="1:18" ht="15.75" customHeight="1" x14ac:dyDescent="0.25">
      <c r="A65" s="19" t="s">
        <v>60</v>
      </c>
      <c r="B65" s="20">
        <f>DATE(2021,7,1)</f>
        <v>44378</v>
      </c>
      <c r="C65" s="21">
        <v>251090</v>
      </c>
      <c r="D65" s="21">
        <v>198458</v>
      </c>
      <c r="E65" s="23">
        <f>(+C65-D65)/D65</f>
        <v>0.26520472845639881</v>
      </c>
      <c r="F65" s="21">
        <f>+C65-113536</f>
        <v>137554</v>
      </c>
      <c r="G65" s="21">
        <f>+D65-91512</f>
        <v>106946</v>
      </c>
      <c r="H65" s="23">
        <f>(+F65-G65)/G65</f>
        <v>0.28620051240813121</v>
      </c>
      <c r="I65" s="24">
        <f>K65/C65</f>
        <v>59.031039945836156</v>
      </c>
      <c r="J65" s="24">
        <f>K65/F65</f>
        <v>107.75480044200823</v>
      </c>
      <c r="K65" s="21">
        <v>14822103.82</v>
      </c>
      <c r="L65" s="21">
        <v>11423179.77</v>
      </c>
      <c r="M65" s="25">
        <f>(+K65-L65)/L65</f>
        <v>0.2975462277960807</v>
      </c>
      <c r="N65" s="10"/>
      <c r="R65" s="2"/>
    </row>
    <row r="66" spans="1:18" ht="15.75" customHeight="1" x14ac:dyDescent="0.25">
      <c r="A66" s="19"/>
      <c r="B66" s="20">
        <f>DATE(2021,8,1)</f>
        <v>44409</v>
      </c>
      <c r="C66" s="21">
        <v>215479</v>
      </c>
      <c r="D66" s="21">
        <v>207170</v>
      </c>
      <c r="E66" s="23">
        <f>(+C66-D66)/D66</f>
        <v>4.0107158372351209E-2</v>
      </c>
      <c r="F66" s="21">
        <f>+C66-96518</f>
        <v>118961</v>
      </c>
      <c r="G66" s="21">
        <f>+D66-94983</f>
        <v>112187</v>
      </c>
      <c r="H66" s="23">
        <f>(+F66-G66)/G66</f>
        <v>6.0381327604802693E-2</v>
      </c>
      <c r="I66" s="24">
        <f>K66/C66</f>
        <v>60.899793761805093</v>
      </c>
      <c r="J66" s="24">
        <f>K66/F66</f>
        <v>110.31032573700625</v>
      </c>
      <c r="K66" s="21">
        <v>13122626.66</v>
      </c>
      <c r="L66" s="21">
        <v>12078246.74</v>
      </c>
      <c r="M66" s="25">
        <f>(+K66-L66)/L66</f>
        <v>8.6467841109859611E-2</v>
      </c>
      <c r="N66" s="10"/>
      <c r="R66" s="2"/>
    </row>
    <row r="67" spans="1:18" ht="15.75" customHeight="1" x14ac:dyDescent="0.25">
      <c r="A67" s="19"/>
      <c r="B67" s="20">
        <f>DATE(2021,9,1)</f>
        <v>44440</v>
      </c>
      <c r="C67" s="21">
        <v>213931</v>
      </c>
      <c r="D67" s="21">
        <v>214679</v>
      </c>
      <c r="E67" s="23">
        <f>(+C67-D67)/D67</f>
        <v>-3.4842718663679259E-3</v>
      </c>
      <c r="F67" s="21">
        <f>+C67-98283</f>
        <v>115648</v>
      </c>
      <c r="G67" s="21">
        <f>+D67-98438</f>
        <v>116241</v>
      </c>
      <c r="H67" s="23">
        <f>(+F67-G67)/G67</f>
        <v>-5.1014702213504704E-3</v>
      </c>
      <c r="I67" s="24">
        <f>K67/C67</f>
        <v>56.659814800099099</v>
      </c>
      <c r="J67" s="24">
        <f>K67/F67</f>
        <v>104.81193656613171</v>
      </c>
      <c r="K67" s="21">
        <v>12121290.84</v>
      </c>
      <c r="L67" s="21">
        <v>11539629.039999999</v>
      </c>
      <c r="M67" s="25">
        <f>(+K67-L67)/L67</f>
        <v>5.0405589121086752E-2</v>
      </c>
      <c r="N67" s="10"/>
      <c r="R67" s="2"/>
    </row>
    <row r="68" spans="1:18" ht="15.75" customHeight="1" x14ac:dyDescent="0.25">
      <c r="A68" s="19"/>
      <c r="B68" s="20">
        <f>DATE(2021,10,1)</f>
        <v>44470</v>
      </c>
      <c r="C68" s="21">
        <v>212915</v>
      </c>
      <c r="D68" s="21">
        <v>212255</v>
      </c>
      <c r="E68" s="23">
        <f>(+C68-D68)/D68</f>
        <v>3.1094673859273043E-3</v>
      </c>
      <c r="F68" s="21">
        <f>+C68-99053</f>
        <v>113862</v>
      </c>
      <c r="G68" s="21">
        <f>+D68-97155</f>
        <v>115100</v>
      </c>
      <c r="H68" s="23">
        <f>(+F68-G68)/G68</f>
        <v>-1.0755864465682016E-2</v>
      </c>
      <c r="I68" s="24">
        <f>K68/C68</f>
        <v>60.264709485005753</v>
      </c>
      <c r="J68" s="24">
        <f>K68/F68</f>
        <v>112.6913335441148</v>
      </c>
      <c r="K68" s="21">
        <v>12831260.619999999</v>
      </c>
      <c r="L68" s="21">
        <v>11315553.33</v>
      </c>
      <c r="M68" s="25">
        <f>(+K68-L68)/L68</f>
        <v>0.13394902094460803</v>
      </c>
      <c r="N68" s="10"/>
      <c r="R68" s="2"/>
    </row>
    <row r="69" spans="1:18" ht="15.75" customHeight="1" x14ac:dyDescent="0.25">
      <c r="A69" s="19"/>
      <c r="B69" s="20">
        <f>DATE(2021,11,1)</f>
        <v>44501</v>
      </c>
      <c r="C69" s="21">
        <v>184421</v>
      </c>
      <c r="D69" s="21">
        <v>182201</v>
      </c>
      <c r="E69" s="23">
        <f>(+C69-D69)/D69</f>
        <v>1.2184345859792207E-2</v>
      </c>
      <c r="F69" s="21">
        <f>+C69-84660</f>
        <v>99761</v>
      </c>
      <c r="G69" s="21">
        <f>+D69-83158</f>
        <v>99043</v>
      </c>
      <c r="H69" s="23">
        <f>(+F69-G69)/G69</f>
        <v>7.2493765334248764E-3</v>
      </c>
      <c r="I69" s="24">
        <f>K69/C69</f>
        <v>64.389713698548434</v>
      </c>
      <c r="J69" s="24">
        <f>K69/F69</f>
        <v>119.03264191417489</v>
      </c>
      <c r="K69" s="21">
        <v>11874815.390000001</v>
      </c>
      <c r="L69" s="21">
        <v>10560135.1</v>
      </c>
      <c r="M69" s="25">
        <f>(+K69-L69)/L69</f>
        <v>0.12449464685352378</v>
      </c>
      <c r="N69" s="10"/>
      <c r="R69" s="2"/>
    </row>
    <row r="70" spans="1:18" ht="15.75" customHeight="1" thickBot="1" x14ac:dyDescent="0.3">
      <c r="A70" s="19"/>
      <c r="B70" s="45"/>
      <c r="C70" s="21"/>
      <c r="D70" s="21"/>
      <c r="E70" s="23"/>
      <c r="F70" s="21"/>
      <c r="G70" s="21"/>
      <c r="H70" s="23"/>
      <c r="I70" s="24"/>
      <c r="J70" s="24"/>
      <c r="K70" s="21"/>
      <c r="L70" s="21"/>
      <c r="M70" s="25"/>
      <c r="N70" s="10"/>
      <c r="R70" s="2"/>
    </row>
    <row r="71" spans="1:18" ht="17.25" thickTop="1" thickBot="1" x14ac:dyDescent="0.3">
      <c r="A71" s="39" t="s">
        <v>14</v>
      </c>
      <c r="B71" s="40"/>
      <c r="C71" s="41">
        <f>SUM(C65:C70)</f>
        <v>1077836</v>
      </c>
      <c r="D71" s="41">
        <f>SUM(D65:D70)</f>
        <v>1014763</v>
      </c>
      <c r="E71" s="280">
        <f>(+C71-D71)/D71</f>
        <v>6.2155399832276109E-2</v>
      </c>
      <c r="F71" s="41">
        <f>SUM(F65:F70)</f>
        <v>585786</v>
      </c>
      <c r="G71" s="41">
        <f>SUM(G65:G70)</f>
        <v>549517</v>
      </c>
      <c r="H71" s="42">
        <f>(+F71-G71)/G71</f>
        <v>6.600159776676609E-2</v>
      </c>
      <c r="I71" s="43">
        <f>K71/C71</f>
        <v>60.094575918785416</v>
      </c>
      <c r="J71" s="43">
        <f>K71/F71</f>
        <v>110.5729691901138</v>
      </c>
      <c r="K71" s="41">
        <f>SUM(K65:K70)</f>
        <v>64772097.329999998</v>
      </c>
      <c r="L71" s="41">
        <f>SUM(L65:L70)</f>
        <v>56916743.979999997</v>
      </c>
      <c r="M71" s="44">
        <f>(+K71-L71)/L71</f>
        <v>0.13801480549836614</v>
      </c>
      <c r="N71" s="10"/>
      <c r="R71" s="2"/>
    </row>
    <row r="72" spans="1:18" ht="15.75" customHeight="1" thickTop="1" x14ac:dyDescent="0.2">
      <c r="A72" s="54"/>
      <c r="B72" s="55"/>
      <c r="C72" s="55"/>
      <c r="D72" s="55"/>
      <c r="E72" s="56"/>
      <c r="F72" s="55"/>
      <c r="G72" s="55"/>
      <c r="H72" s="56"/>
      <c r="I72" s="55"/>
      <c r="J72" s="55"/>
      <c r="K72" s="196"/>
      <c r="L72" s="196"/>
      <c r="M72" s="57"/>
      <c r="N72" s="10"/>
      <c r="R72" s="2"/>
    </row>
    <row r="73" spans="1:18" ht="15.75" customHeight="1" x14ac:dyDescent="0.25">
      <c r="A73" s="19" t="s">
        <v>16</v>
      </c>
      <c r="B73" s="20">
        <f>DATE(2021,7,1)</f>
        <v>44378</v>
      </c>
      <c r="C73" s="21">
        <v>292626</v>
      </c>
      <c r="D73" s="21">
        <v>211446</v>
      </c>
      <c r="E73" s="23">
        <f>(+C73-D73)/D73</f>
        <v>0.38392781135609094</v>
      </c>
      <c r="F73" s="21">
        <f>+C73-144119</f>
        <v>148507</v>
      </c>
      <c r="G73" s="21">
        <f>+D73-102823</f>
        <v>108623</v>
      </c>
      <c r="H73" s="23">
        <f>(+F73-G73)/G73</f>
        <v>0.36717822192353367</v>
      </c>
      <c r="I73" s="24">
        <f>K73/C73</f>
        <v>61.884126359243538</v>
      </c>
      <c r="J73" s="24">
        <f>K73/F73</f>
        <v>121.93973590470482</v>
      </c>
      <c r="K73" s="21">
        <v>18108904.359999999</v>
      </c>
      <c r="L73" s="21">
        <v>13827445.609999999</v>
      </c>
      <c r="M73" s="25">
        <f>(+K73-L73)/L73</f>
        <v>0.3096348284967147</v>
      </c>
      <c r="N73" s="10"/>
      <c r="R73" s="2"/>
    </row>
    <row r="74" spans="1:18" ht="15.75" customHeight="1" x14ac:dyDescent="0.25">
      <c r="A74" s="19"/>
      <c r="B74" s="20">
        <f>DATE(2021,8,1)</f>
        <v>44409</v>
      </c>
      <c r="C74" s="21">
        <v>252812</v>
      </c>
      <c r="D74" s="21">
        <v>225551</v>
      </c>
      <c r="E74" s="23">
        <f>(+C74-D74)/D74</f>
        <v>0.12086401745059876</v>
      </c>
      <c r="F74" s="21">
        <f>+C74-122587</f>
        <v>130225</v>
      </c>
      <c r="G74" s="21">
        <f>+D74-110461</f>
        <v>115090</v>
      </c>
      <c r="H74" s="23">
        <f>(+F74-G74)/G74</f>
        <v>0.13150577808671474</v>
      </c>
      <c r="I74" s="24">
        <f>K74/C74</f>
        <v>64.409354381912252</v>
      </c>
      <c r="J74" s="24">
        <f>K74/F74</f>
        <v>125.04094989441352</v>
      </c>
      <c r="K74" s="21">
        <v>16283457.699999999</v>
      </c>
      <c r="L74" s="21">
        <v>14343284.68</v>
      </c>
      <c r="M74" s="25">
        <f>(+K74-L74)/L74</f>
        <v>0.13526699520266369</v>
      </c>
      <c r="N74" s="10"/>
      <c r="R74" s="2"/>
    </row>
    <row r="75" spans="1:18" ht="15.75" customHeight="1" x14ac:dyDescent="0.25">
      <c r="A75" s="19"/>
      <c r="B75" s="20">
        <f>DATE(2021,9,1)</f>
        <v>44440</v>
      </c>
      <c r="C75" s="21">
        <v>245992</v>
      </c>
      <c r="D75" s="21">
        <v>224827</v>
      </c>
      <c r="E75" s="23">
        <f>(+C75-D75)/D75</f>
        <v>9.4139049135557568E-2</v>
      </c>
      <c r="F75" s="21">
        <f>+C75-120862</f>
        <v>125130</v>
      </c>
      <c r="G75" s="21">
        <f>+D75-110393</f>
        <v>114434</v>
      </c>
      <c r="H75" s="23">
        <f>(+F75-G75)/G75</f>
        <v>9.3468724330181593E-2</v>
      </c>
      <c r="I75" s="24">
        <f>K75/C75</f>
        <v>58.827599881296948</v>
      </c>
      <c r="J75" s="24">
        <f>K75/F75</f>
        <v>115.64867697594501</v>
      </c>
      <c r="K75" s="21">
        <v>14471118.949999999</v>
      </c>
      <c r="L75" s="21">
        <v>13592591.220000001</v>
      </c>
      <c r="M75" s="25">
        <f>(+K75-L75)/L75</f>
        <v>6.4632836799163193E-2</v>
      </c>
      <c r="N75" s="10"/>
      <c r="R75" s="2"/>
    </row>
    <row r="76" spans="1:18" ht="15.75" customHeight="1" x14ac:dyDescent="0.25">
      <c r="A76" s="19"/>
      <c r="B76" s="20">
        <f>DATE(2021,10,1)</f>
        <v>44470</v>
      </c>
      <c r="C76" s="21">
        <v>265943</v>
      </c>
      <c r="D76" s="21">
        <v>236689</v>
      </c>
      <c r="E76" s="23">
        <f>(+C76-D76)/D76</f>
        <v>0.12359678734541951</v>
      </c>
      <c r="F76" s="21">
        <f>+C76-130327</f>
        <v>135616</v>
      </c>
      <c r="G76" s="21">
        <f>+D76-116990</f>
        <v>119699</v>
      </c>
      <c r="H76" s="23">
        <f>(+F76-G76)/G76</f>
        <v>0.13297521282550398</v>
      </c>
      <c r="I76" s="24">
        <f>K76/C76</f>
        <v>62.018882880918092</v>
      </c>
      <c r="J76" s="24">
        <f>K76/F76</f>
        <v>121.61904030497875</v>
      </c>
      <c r="K76" s="21">
        <v>16493487.77</v>
      </c>
      <c r="L76" s="21">
        <v>14448861.33</v>
      </c>
      <c r="M76" s="25">
        <f>(+K76-L76)/L76</f>
        <v>0.14150779035817623</v>
      </c>
      <c r="N76" s="10"/>
      <c r="R76" s="2"/>
    </row>
    <row r="77" spans="1:18" ht="15.75" customHeight="1" x14ac:dyDescent="0.25">
      <c r="A77" s="19"/>
      <c r="B77" s="20">
        <f>DATE(2021,11,1)</f>
        <v>44501</v>
      </c>
      <c r="C77" s="21">
        <v>251827</v>
      </c>
      <c r="D77" s="21">
        <v>217833</v>
      </c>
      <c r="E77" s="23">
        <f>(+C77-D77)/D77</f>
        <v>0.1560553267870341</v>
      </c>
      <c r="F77" s="21">
        <f>+C77-125798</f>
        <v>126029</v>
      </c>
      <c r="G77" s="21">
        <f>+D77-108450</f>
        <v>109383</v>
      </c>
      <c r="H77" s="23">
        <f>(+F77-G77)/G77</f>
        <v>0.15218086905643474</v>
      </c>
      <c r="I77" s="24">
        <f>K77/C77</f>
        <v>63.774888435314722</v>
      </c>
      <c r="J77" s="24">
        <f>K77/F77</f>
        <v>127.4328831459426</v>
      </c>
      <c r="K77" s="21">
        <v>16060238.83</v>
      </c>
      <c r="L77" s="21">
        <v>12584367.83</v>
      </c>
      <c r="M77" s="25">
        <f>(+K77-L77)/L77</f>
        <v>0.27620545163292481</v>
      </c>
      <c r="N77" s="10"/>
      <c r="R77" s="2"/>
    </row>
    <row r="78" spans="1:18" ht="15.75" customHeight="1" thickBot="1" x14ac:dyDescent="0.3">
      <c r="A78" s="19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25" thickTop="1" thickBot="1" x14ac:dyDescent="0.3">
      <c r="A79" s="39" t="s">
        <v>14</v>
      </c>
      <c r="B79" s="40"/>
      <c r="C79" s="41">
        <f>SUM(C73:C78)</f>
        <v>1309200</v>
      </c>
      <c r="D79" s="41">
        <f>SUM(D73:D78)</f>
        <v>1116346</v>
      </c>
      <c r="E79" s="280">
        <f>(+C79-D79)/D79</f>
        <v>0.17275468358376345</v>
      </c>
      <c r="F79" s="41">
        <f>SUM(F73:F78)</f>
        <v>665507</v>
      </c>
      <c r="G79" s="41">
        <f>SUM(G73:G78)</f>
        <v>567229</v>
      </c>
      <c r="H79" s="42">
        <f>(+F79-G79)/G79</f>
        <v>0.17325982980418844</v>
      </c>
      <c r="I79" s="43">
        <f>K79/C79</f>
        <v>62.18851788114879</v>
      </c>
      <c r="J79" s="43">
        <f>K79/F79</f>
        <v>122.33861944352201</v>
      </c>
      <c r="K79" s="41">
        <f>SUM(K73:K78)</f>
        <v>81417207.609999999</v>
      </c>
      <c r="L79" s="41">
        <f>SUM(L73:L78)</f>
        <v>68796550.670000002</v>
      </c>
      <c r="M79" s="44">
        <f>(+K79-L79)/L79</f>
        <v>0.18344897843117397</v>
      </c>
      <c r="N79" s="10"/>
      <c r="R79" s="2"/>
    </row>
    <row r="80" spans="1:18" ht="15.75" customHeight="1" thickTop="1" x14ac:dyDescent="0.2">
      <c r="A80" s="54"/>
      <c r="B80" s="55"/>
      <c r="C80" s="55"/>
      <c r="D80" s="55"/>
      <c r="E80" s="56"/>
      <c r="F80" s="55"/>
      <c r="G80" s="55"/>
      <c r="H80" s="56"/>
      <c r="I80" s="55"/>
      <c r="J80" s="55"/>
      <c r="K80" s="196"/>
      <c r="L80" s="196"/>
      <c r="M80" s="57"/>
      <c r="N80" s="10"/>
      <c r="R80" s="2"/>
    </row>
    <row r="81" spans="1:18" ht="15.75" customHeight="1" x14ac:dyDescent="0.25">
      <c r="A81" s="19" t="s">
        <v>54</v>
      </c>
      <c r="B81" s="20">
        <f>DATE(2021,7,1)</f>
        <v>44378</v>
      </c>
      <c r="C81" s="21">
        <v>338901</v>
      </c>
      <c r="D81" s="21">
        <v>223492</v>
      </c>
      <c r="E81" s="23">
        <f>(+C81-D81)/D81</f>
        <v>0.51638984840620694</v>
      </c>
      <c r="F81" s="21">
        <f>+C81-160819</f>
        <v>178082</v>
      </c>
      <c r="G81" s="21">
        <f>+D81-109534</f>
        <v>113958</v>
      </c>
      <c r="H81" s="23">
        <f>(+F81-G81)/G81</f>
        <v>0.56269853805788095</v>
      </c>
      <c r="I81" s="24">
        <f>K81/C81</f>
        <v>59.424074818309769</v>
      </c>
      <c r="J81" s="24">
        <f>K81/F81</f>
        <v>113.08766961287496</v>
      </c>
      <c r="K81" s="21">
        <v>20138878.379999999</v>
      </c>
      <c r="L81" s="21">
        <v>15036571.48</v>
      </c>
      <c r="M81" s="25">
        <f>(+K81-L81)/L81</f>
        <v>0.33932648189027187</v>
      </c>
      <c r="N81" s="10"/>
      <c r="R81" s="2"/>
    </row>
    <row r="82" spans="1:18" ht="15.75" customHeight="1" x14ac:dyDescent="0.25">
      <c r="A82" s="19"/>
      <c r="B82" s="20">
        <f>DATE(2021,8,1)</f>
        <v>44409</v>
      </c>
      <c r="C82" s="21">
        <v>315503</v>
      </c>
      <c r="D82" s="21">
        <v>243172</v>
      </c>
      <c r="E82" s="23">
        <f>(+C82-D82)/D82</f>
        <v>0.29744789696182128</v>
      </c>
      <c r="F82" s="21">
        <f>+C82-149989</f>
        <v>165514</v>
      </c>
      <c r="G82" s="21">
        <f>+D82-117936</f>
        <v>125236</v>
      </c>
      <c r="H82" s="23">
        <f>(+F82-G82)/G82</f>
        <v>0.32161678750519018</v>
      </c>
      <c r="I82" s="24">
        <f>K82/C82</f>
        <v>60.83894787054323</v>
      </c>
      <c r="J82" s="24">
        <f>K82/F82</f>
        <v>115.97128079799896</v>
      </c>
      <c r="K82" s="21">
        <v>19194870.57</v>
      </c>
      <c r="L82" s="21">
        <v>15861571.800000001</v>
      </c>
      <c r="M82" s="25">
        <f>(+K82-L82)/L82</f>
        <v>0.21014933526323032</v>
      </c>
      <c r="N82" s="10"/>
      <c r="R82" s="2"/>
    </row>
    <row r="83" spans="1:18" ht="15.75" customHeight="1" x14ac:dyDescent="0.25">
      <c r="A83" s="19"/>
      <c r="B83" s="20">
        <f>DATE(2021,9,1)</f>
        <v>44440</v>
      </c>
      <c r="C83" s="21">
        <v>329297</v>
      </c>
      <c r="D83" s="21">
        <v>258989</v>
      </c>
      <c r="E83" s="23">
        <f>(+C83-D83)/D83</f>
        <v>0.27147098911536782</v>
      </c>
      <c r="F83" s="21">
        <f>+C83-155913</f>
        <v>173384</v>
      </c>
      <c r="G83" s="21">
        <f>+D83-126754</f>
        <v>132235</v>
      </c>
      <c r="H83" s="23">
        <f>(+F83-G83)/G83</f>
        <v>0.3111808522705789</v>
      </c>
      <c r="I83" s="24">
        <f>K83/C83</f>
        <v>59.145045171987604</v>
      </c>
      <c r="J83" s="24">
        <f>K83/F83</f>
        <v>112.33035308909704</v>
      </c>
      <c r="K83" s="21">
        <v>19476285.940000001</v>
      </c>
      <c r="L83" s="21">
        <v>16406074.949999999</v>
      </c>
      <c r="M83" s="25">
        <f>(+K83-L83)/L83</f>
        <v>0.18713866658277106</v>
      </c>
      <c r="N83" s="10"/>
      <c r="R83" s="2"/>
    </row>
    <row r="84" spans="1:18" ht="15.75" customHeight="1" x14ac:dyDescent="0.25">
      <c r="A84" s="19"/>
      <c r="B84" s="20">
        <f>DATE(2021,10,1)</f>
        <v>44470</v>
      </c>
      <c r="C84" s="21">
        <v>343168</v>
      </c>
      <c r="D84" s="21">
        <v>272659</v>
      </c>
      <c r="E84" s="23">
        <f>(+C84-D84)/D84</f>
        <v>0.25859773563315352</v>
      </c>
      <c r="F84" s="21">
        <f>+C84-164416</f>
        <v>178752</v>
      </c>
      <c r="G84" s="21">
        <f>+D84-130567</f>
        <v>142092</v>
      </c>
      <c r="H84" s="23">
        <f>(+F84-G84)/G84</f>
        <v>0.25800185795118658</v>
      </c>
      <c r="I84" s="24">
        <f>K84/C84</f>
        <v>61.274948392624019</v>
      </c>
      <c r="J84" s="24">
        <f>K84/F84</f>
        <v>117.63561520989974</v>
      </c>
      <c r="K84" s="21">
        <v>21027601.489999998</v>
      </c>
      <c r="L84" s="21">
        <v>16384207.619999999</v>
      </c>
      <c r="M84" s="25">
        <f>(+K84-L84)/L84</f>
        <v>0.28340667902254035</v>
      </c>
      <c r="N84" s="10"/>
      <c r="R84" s="2"/>
    </row>
    <row r="85" spans="1:18" ht="15.75" customHeight="1" x14ac:dyDescent="0.25">
      <c r="A85" s="19"/>
      <c r="B85" s="20">
        <f>DATE(2021,11,1)</f>
        <v>44501</v>
      </c>
      <c r="C85" s="21">
        <v>319143</v>
      </c>
      <c r="D85" s="21">
        <v>229316</v>
      </c>
      <c r="E85" s="23">
        <f>(+C85-D85)/D85</f>
        <v>0.39171710652549319</v>
      </c>
      <c r="F85" s="21">
        <f>+C85-158694</f>
        <v>160449</v>
      </c>
      <c r="G85" s="21">
        <f>+D85-112072</f>
        <v>117244</v>
      </c>
      <c r="H85" s="23">
        <f>(+F85-G85)/G85</f>
        <v>0.36850499812357135</v>
      </c>
      <c r="I85" s="24">
        <f>K85/C85</f>
        <v>62.129869180900094</v>
      </c>
      <c r="J85" s="24">
        <f>K85/F85</f>
        <v>123.58015843040468</v>
      </c>
      <c r="K85" s="21">
        <v>19828312.84</v>
      </c>
      <c r="L85" s="21">
        <v>14486891.189999999</v>
      </c>
      <c r="M85" s="25">
        <f>(+K85-L85)/L85</f>
        <v>0.36870723883720979</v>
      </c>
      <c r="N85" s="10"/>
      <c r="R85" s="2"/>
    </row>
    <row r="86" spans="1:18" ht="15.75" customHeight="1" thickBot="1" x14ac:dyDescent="0.3">
      <c r="A86" s="19"/>
      <c r="B86" s="45"/>
      <c r="C86" s="21"/>
      <c r="D86" s="21"/>
      <c r="E86" s="23"/>
      <c r="F86" s="21"/>
      <c r="G86" s="21"/>
      <c r="H86" s="23"/>
      <c r="I86" s="24"/>
      <c r="J86" s="24"/>
      <c r="K86" s="21"/>
      <c r="L86" s="21"/>
      <c r="M86" s="25"/>
      <c r="N86" s="10"/>
      <c r="R86" s="2"/>
    </row>
    <row r="87" spans="1:18" ht="17.25" thickTop="1" thickBot="1" x14ac:dyDescent="0.3">
      <c r="A87" s="39" t="s">
        <v>14</v>
      </c>
      <c r="B87" s="40"/>
      <c r="C87" s="41">
        <f>SUM(C81:C86)</f>
        <v>1646012</v>
      </c>
      <c r="D87" s="41">
        <f>SUM(D81:D86)</f>
        <v>1227628</v>
      </c>
      <c r="E87" s="280">
        <f>(+C87-D87)/D87</f>
        <v>0.34080682421710812</v>
      </c>
      <c r="F87" s="41">
        <f>SUM(F81:F86)</f>
        <v>856181</v>
      </c>
      <c r="G87" s="41">
        <f>SUM(G81:G86)</f>
        <v>630765</v>
      </c>
      <c r="H87" s="42">
        <f>(+F87-G87)/G87</f>
        <v>0.3573692262570054</v>
      </c>
      <c r="I87" s="43">
        <f>K87/C87</f>
        <v>60.549952989407124</v>
      </c>
      <c r="J87" s="43">
        <f>K87/F87</f>
        <v>116.40756945085209</v>
      </c>
      <c r="K87" s="41">
        <f>SUM(K81:K86)</f>
        <v>99665949.219999999</v>
      </c>
      <c r="L87" s="41">
        <f>SUM(L81:L86)</f>
        <v>78175317.040000007</v>
      </c>
      <c r="M87" s="44">
        <f>(+K87-L87)/L87</f>
        <v>0.27490303837212288</v>
      </c>
      <c r="N87" s="10"/>
      <c r="R87" s="2"/>
    </row>
    <row r="88" spans="1:18" ht="15.75" customHeight="1" thickTop="1" x14ac:dyDescent="0.2">
      <c r="A88" s="58"/>
      <c r="B88" s="59"/>
      <c r="C88" s="59"/>
      <c r="D88" s="59"/>
      <c r="E88" s="60"/>
      <c r="F88" s="59"/>
      <c r="G88" s="59"/>
      <c r="H88" s="60"/>
      <c r="I88" s="59"/>
      <c r="J88" s="59"/>
      <c r="K88" s="197"/>
      <c r="L88" s="197"/>
      <c r="M88" s="61"/>
      <c r="N88" s="10"/>
      <c r="R88" s="2"/>
    </row>
    <row r="89" spans="1:18" ht="15" customHeight="1" x14ac:dyDescent="0.25">
      <c r="A89" s="19" t="s">
        <v>55</v>
      </c>
      <c r="B89" s="20">
        <f>DATE(2021,7,1)</f>
        <v>44378</v>
      </c>
      <c r="C89" s="21">
        <v>54523</v>
      </c>
      <c r="D89" s="21">
        <v>43226</v>
      </c>
      <c r="E89" s="23">
        <f>(+C89-D89)/D89</f>
        <v>0.26134733725072873</v>
      </c>
      <c r="F89" s="21">
        <f>+C89-27936</f>
        <v>26587</v>
      </c>
      <c r="G89" s="21">
        <f>+D89-22161</f>
        <v>21065</v>
      </c>
      <c r="H89" s="23">
        <f>(+F89-G89)/G89</f>
        <v>0.26214099216710185</v>
      </c>
      <c r="I89" s="24">
        <f>K89/C89</f>
        <v>66.702283806833819</v>
      </c>
      <c r="J89" s="24">
        <f>K89/F89</f>
        <v>136.78898032873209</v>
      </c>
      <c r="K89" s="21">
        <v>3636808.62</v>
      </c>
      <c r="L89" s="21">
        <v>2973337.45</v>
      </c>
      <c r="M89" s="25">
        <f>(+K89-L89)/L89</f>
        <v>0.22314021908276838</v>
      </c>
      <c r="N89" s="10"/>
      <c r="R89" s="2"/>
    </row>
    <row r="90" spans="1:18" ht="15" customHeight="1" x14ac:dyDescent="0.25">
      <c r="A90" s="19"/>
      <c r="B90" s="20">
        <f>DATE(2021,8,1)</f>
        <v>44409</v>
      </c>
      <c r="C90" s="21">
        <v>47684</v>
      </c>
      <c r="D90" s="21">
        <v>46706</v>
      </c>
      <c r="E90" s="23">
        <f>(+C90-D90)/D90</f>
        <v>2.0939493855179205E-2</v>
      </c>
      <c r="F90" s="21">
        <f>+C90-24640</f>
        <v>23044</v>
      </c>
      <c r="G90" s="21">
        <f>+D90-23797</f>
        <v>22909</v>
      </c>
      <c r="H90" s="23">
        <f>(+F90-G90)/G90</f>
        <v>5.8928805273036795E-3</v>
      </c>
      <c r="I90" s="24">
        <f>K90/C90</f>
        <v>67.626973198557167</v>
      </c>
      <c r="J90" s="24">
        <f>K90/F90</f>
        <v>139.93771003298039</v>
      </c>
      <c r="K90" s="21">
        <v>3224724.59</v>
      </c>
      <c r="L90" s="21">
        <v>3072719.82</v>
      </c>
      <c r="M90" s="25">
        <f>(+K90-L90)/L90</f>
        <v>4.9469127972754781E-2</v>
      </c>
      <c r="N90" s="10"/>
      <c r="R90" s="2"/>
    </row>
    <row r="91" spans="1:18" ht="15" customHeight="1" x14ac:dyDescent="0.25">
      <c r="A91" s="19"/>
      <c r="B91" s="20">
        <f>DATE(2021,9,1)</f>
        <v>44440</v>
      </c>
      <c r="C91" s="21">
        <v>47289</v>
      </c>
      <c r="D91" s="21">
        <v>44655</v>
      </c>
      <c r="E91" s="23">
        <f>(+C91-D91)/D91</f>
        <v>5.8985555928787368E-2</v>
      </c>
      <c r="F91" s="21">
        <f>+C91-24190</f>
        <v>23099</v>
      </c>
      <c r="G91" s="21">
        <f>+D91-22941</f>
        <v>21714</v>
      </c>
      <c r="H91" s="23">
        <f>(+F91-G91)/G91</f>
        <v>6.3783733996499947E-2</v>
      </c>
      <c r="I91" s="24">
        <f>K91/C91</f>
        <v>66.497497303812722</v>
      </c>
      <c r="J91" s="24">
        <f>K91/F91</f>
        <v>136.13576994675094</v>
      </c>
      <c r="K91" s="21">
        <v>3144600.15</v>
      </c>
      <c r="L91" s="21">
        <v>2816158.99</v>
      </c>
      <c r="M91" s="25">
        <f>(+K91-L91)/L91</f>
        <v>0.11662734993523916</v>
      </c>
      <c r="N91" s="10"/>
      <c r="R91" s="2"/>
    </row>
    <row r="92" spans="1:18" ht="15" customHeight="1" x14ac:dyDescent="0.25">
      <c r="A92" s="19"/>
      <c r="B92" s="20">
        <f>DATE(2021,10,1)</f>
        <v>44470</v>
      </c>
      <c r="C92" s="21">
        <v>51019</v>
      </c>
      <c r="D92" s="21">
        <v>42403</v>
      </c>
      <c r="E92" s="23">
        <f>(+C92-D92)/D92</f>
        <v>0.20319317029455464</v>
      </c>
      <c r="F92" s="21">
        <f>+C92-26626</f>
        <v>24393</v>
      </c>
      <c r="G92" s="21">
        <f>+D92-22277</f>
        <v>20126</v>
      </c>
      <c r="H92" s="23">
        <f>(+F92-G92)/G92</f>
        <v>0.21201430984795785</v>
      </c>
      <c r="I92" s="24">
        <f>K92/C92</f>
        <v>68.506604010270692</v>
      </c>
      <c r="J92" s="24">
        <f>K92/F92</f>
        <v>143.28448448325341</v>
      </c>
      <c r="K92" s="21">
        <v>3495138.43</v>
      </c>
      <c r="L92" s="21">
        <v>2872212.37</v>
      </c>
      <c r="M92" s="25">
        <f>(+K92-L92)/L92</f>
        <v>0.21688022324059555</v>
      </c>
      <c r="N92" s="10"/>
      <c r="R92" s="2"/>
    </row>
    <row r="93" spans="1:18" ht="15" customHeight="1" x14ac:dyDescent="0.25">
      <c r="A93" s="19"/>
      <c r="B93" s="20">
        <f>DATE(2021,11,1)</f>
        <v>44501</v>
      </c>
      <c r="C93" s="21">
        <v>42978</v>
      </c>
      <c r="D93" s="21">
        <v>37816</v>
      </c>
      <c r="E93" s="23">
        <f>(+C93-D93)/D93</f>
        <v>0.13650306748466257</v>
      </c>
      <c r="F93" s="21">
        <f>+C93-22231</f>
        <v>20747</v>
      </c>
      <c r="G93" s="21">
        <f>+D93-19316</f>
        <v>18500</v>
      </c>
      <c r="H93" s="23">
        <f>(+F93-G93)/G93</f>
        <v>0.12145945945945946</v>
      </c>
      <c r="I93" s="24">
        <f>K93/C93</f>
        <v>74.270796453999722</v>
      </c>
      <c r="J93" s="24">
        <f>K93/F93</f>
        <v>153.85406516604812</v>
      </c>
      <c r="K93" s="21">
        <v>3192010.29</v>
      </c>
      <c r="L93" s="21">
        <v>2647748.7999999998</v>
      </c>
      <c r="M93" s="25">
        <f>(+K93-L93)/L93</f>
        <v>0.20555631636958924</v>
      </c>
      <c r="N93" s="10"/>
      <c r="R93" s="2"/>
    </row>
    <row r="94" spans="1:18" ht="15.75" thickBot="1" x14ac:dyDescent="0.25">
      <c r="A94" s="38"/>
      <c r="B94" s="20"/>
      <c r="C94" s="21"/>
      <c r="D94" s="21"/>
      <c r="E94" s="23"/>
      <c r="F94" s="21"/>
      <c r="G94" s="21"/>
      <c r="H94" s="23"/>
      <c r="I94" s="24"/>
      <c r="J94" s="24"/>
      <c r="K94" s="21"/>
      <c r="L94" s="21"/>
      <c r="M94" s="25"/>
      <c r="N94" s="10"/>
      <c r="R94" s="2"/>
    </row>
    <row r="95" spans="1:18" ht="17.25" thickTop="1" thickBot="1" x14ac:dyDescent="0.3">
      <c r="A95" s="62" t="s">
        <v>14</v>
      </c>
      <c r="B95" s="52"/>
      <c r="C95" s="48">
        <f>SUM(C89:C94)</f>
        <v>243493</v>
      </c>
      <c r="D95" s="48">
        <f>SUM(D89:D94)</f>
        <v>214806</v>
      </c>
      <c r="E95" s="280">
        <f>(+C95-D95)/D95</f>
        <v>0.13354841112445648</v>
      </c>
      <c r="F95" s="48">
        <f>SUM(F89:F94)</f>
        <v>117870</v>
      </c>
      <c r="G95" s="48">
        <f>SUM(G89:G94)</f>
        <v>104314</v>
      </c>
      <c r="H95" s="42">
        <f>(+F95-G95)/G95</f>
        <v>0.12995379335467913</v>
      </c>
      <c r="I95" s="50">
        <f>K95/C95</f>
        <v>68.557544077242454</v>
      </c>
      <c r="J95" s="50">
        <f>K95/F95</f>
        <v>141.6245192160855</v>
      </c>
      <c r="K95" s="48">
        <f>SUM(K89:K94)</f>
        <v>16693282.079999998</v>
      </c>
      <c r="L95" s="48">
        <f>SUM(L89:L94)</f>
        <v>14382177.43</v>
      </c>
      <c r="M95" s="44">
        <f>(+K95-L95)/L95</f>
        <v>0.16069226382781446</v>
      </c>
      <c r="N95" s="10"/>
      <c r="R95" s="2"/>
    </row>
    <row r="96" spans="1:18" ht="15.75" customHeight="1" thickTop="1" x14ac:dyDescent="0.25">
      <c r="A96" s="19"/>
      <c r="B96" s="45"/>
      <c r="C96" s="21"/>
      <c r="D96" s="21"/>
      <c r="E96" s="23"/>
      <c r="F96" s="21"/>
      <c r="G96" s="21"/>
      <c r="H96" s="23"/>
      <c r="I96" s="24"/>
      <c r="J96" s="24"/>
      <c r="K96" s="21"/>
      <c r="L96" s="21"/>
      <c r="M96" s="25"/>
      <c r="N96" s="10"/>
      <c r="R96" s="2"/>
    </row>
    <row r="97" spans="1:18" ht="15.75" x14ac:dyDescent="0.25">
      <c r="A97" s="19" t="s">
        <v>17</v>
      </c>
      <c r="B97" s="20">
        <f>DATE(2021,7,1)</f>
        <v>44378</v>
      </c>
      <c r="C97" s="21">
        <v>395405</v>
      </c>
      <c r="D97" s="21">
        <v>316439</v>
      </c>
      <c r="E97" s="23">
        <f>(+C97-D97)/D97</f>
        <v>0.24954572603250547</v>
      </c>
      <c r="F97" s="21">
        <f>+C97-202613</f>
        <v>192792</v>
      </c>
      <c r="G97" s="21">
        <f>+D97-163690</f>
        <v>152749</v>
      </c>
      <c r="H97" s="23">
        <f>(+F97-G97)/G97</f>
        <v>0.26214901570550381</v>
      </c>
      <c r="I97" s="24">
        <f>K97/C97</f>
        <v>66.968329004438488</v>
      </c>
      <c r="J97" s="24">
        <f>K97/F97</f>
        <v>137.34808565708121</v>
      </c>
      <c r="K97" s="21">
        <v>26479612.129999999</v>
      </c>
      <c r="L97" s="21">
        <v>22725911.809999999</v>
      </c>
      <c r="M97" s="25">
        <f>(+K97-L97)/L97</f>
        <v>0.1651727046810185</v>
      </c>
      <c r="N97" s="10"/>
      <c r="R97" s="2"/>
    </row>
    <row r="98" spans="1:18" ht="15.75" x14ac:dyDescent="0.25">
      <c r="A98" s="19"/>
      <c r="B98" s="20">
        <f>DATE(2021,8,1)</f>
        <v>44409</v>
      </c>
      <c r="C98" s="21">
        <v>371634</v>
      </c>
      <c r="D98" s="21">
        <v>305395</v>
      </c>
      <c r="E98" s="23">
        <f>(+C98-D98)/D98</f>
        <v>0.21689615088655675</v>
      </c>
      <c r="F98" s="21">
        <f>+C98-197282</f>
        <v>174352</v>
      </c>
      <c r="G98" s="21">
        <f>+D98-155433</f>
        <v>149962</v>
      </c>
      <c r="H98" s="23">
        <f>(+F98-G98)/G98</f>
        <v>0.16264120243795094</v>
      </c>
      <c r="I98" s="24">
        <f>K98/C98</f>
        <v>65.719749430891682</v>
      </c>
      <c r="J98" s="24">
        <f>K98/F98</f>
        <v>140.08266816555016</v>
      </c>
      <c r="K98" s="21">
        <v>24423693.359999999</v>
      </c>
      <c r="L98" s="21">
        <v>20775703.289999999</v>
      </c>
      <c r="M98" s="25">
        <f>(+K98-L98)/L98</f>
        <v>0.17558924572030699</v>
      </c>
      <c r="N98" s="10"/>
      <c r="R98" s="2"/>
    </row>
    <row r="99" spans="1:18" ht="15.75" x14ac:dyDescent="0.25">
      <c r="A99" s="19"/>
      <c r="B99" s="20">
        <f>DATE(2021,9,1)</f>
        <v>44440</v>
      </c>
      <c r="C99" s="21">
        <v>353777</v>
      </c>
      <c r="D99" s="21">
        <v>318244</v>
      </c>
      <c r="E99" s="23">
        <f>(+C99-D99)/D99</f>
        <v>0.11165332260781036</v>
      </c>
      <c r="F99" s="21">
        <f>+C99-184328</f>
        <v>169449</v>
      </c>
      <c r="G99" s="21">
        <f>+D99-166636</f>
        <v>151608</v>
      </c>
      <c r="H99" s="23">
        <f>(+F99-G99)/G99</f>
        <v>0.11767848662339718</v>
      </c>
      <c r="I99" s="24">
        <f>K99/C99</f>
        <v>67.155134053372606</v>
      </c>
      <c r="J99" s="24">
        <f>K99/F99</f>
        <v>140.20703491906119</v>
      </c>
      <c r="K99" s="21">
        <v>23757941.859999999</v>
      </c>
      <c r="L99" s="21">
        <v>20397277.649999999</v>
      </c>
      <c r="M99" s="25">
        <f>(+K99-L99)/L99</f>
        <v>0.16476042870358246</v>
      </c>
      <c r="N99" s="10"/>
      <c r="R99" s="2"/>
    </row>
    <row r="100" spans="1:18" ht="15.75" x14ac:dyDescent="0.25">
      <c r="A100" s="19"/>
      <c r="B100" s="20">
        <f>DATE(2021,10,1)</f>
        <v>44470</v>
      </c>
      <c r="C100" s="21">
        <v>364454</v>
      </c>
      <c r="D100" s="21">
        <v>334295</v>
      </c>
      <c r="E100" s="23">
        <f>(+C100-D100)/D100</f>
        <v>9.0216724749098851E-2</v>
      </c>
      <c r="F100" s="21">
        <f>+C100-184794</f>
        <v>179660</v>
      </c>
      <c r="G100" s="21">
        <f>+D100-175103</f>
        <v>159192</v>
      </c>
      <c r="H100" s="23">
        <f>(+F100-G100)/G100</f>
        <v>0.12857430021609126</v>
      </c>
      <c r="I100" s="24">
        <f>K100/C100</f>
        <v>73.070886010305827</v>
      </c>
      <c r="J100" s="24">
        <f>K100/F100</f>
        <v>148.22986023600134</v>
      </c>
      <c r="K100" s="21">
        <v>26630976.690000001</v>
      </c>
      <c r="L100" s="21">
        <v>21914196.890000001</v>
      </c>
      <c r="M100" s="25">
        <f>(+K100-L100)/L100</f>
        <v>0.21523854256107308</v>
      </c>
      <c r="N100" s="10"/>
      <c r="R100" s="2"/>
    </row>
    <row r="101" spans="1:18" ht="15.75" x14ac:dyDescent="0.25">
      <c r="A101" s="19"/>
      <c r="B101" s="20">
        <f>DATE(2021,11,1)</f>
        <v>44501</v>
      </c>
      <c r="C101" s="21">
        <v>343235</v>
      </c>
      <c r="D101" s="21">
        <v>292924</v>
      </c>
      <c r="E101" s="23">
        <f>(+C101-D101)/D101</f>
        <v>0.17175444825278913</v>
      </c>
      <c r="F101" s="21">
        <f>+C101-177609</f>
        <v>165626</v>
      </c>
      <c r="G101" s="21">
        <f>+D101-150746</f>
        <v>142178</v>
      </c>
      <c r="H101" s="23">
        <f>(+F101-G101)/G101</f>
        <v>0.1649200298217727</v>
      </c>
      <c r="I101" s="24">
        <f>K101/C101</f>
        <v>69.571718618439263</v>
      </c>
      <c r="J101" s="24">
        <f>K101/F101</f>
        <v>144.17693381473924</v>
      </c>
      <c r="K101" s="21">
        <v>23879448.84</v>
      </c>
      <c r="L101" s="21">
        <v>19060349.809999999</v>
      </c>
      <c r="M101" s="25">
        <f>(+K101-L101)/L101</f>
        <v>0.25283371386351283</v>
      </c>
      <c r="N101" s="10"/>
      <c r="R101" s="2"/>
    </row>
    <row r="102" spans="1:18" ht="15.75" thickBot="1" x14ac:dyDescent="0.25">
      <c r="A102" s="38"/>
      <c r="B102" s="45"/>
      <c r="C102" s="21"/>
      <c r="D102" s="21"/>
      <c r="E102" s="23"/>
      <c r="F102" s="21"/>
      <c r="G102" s="21"/>
      <c r="H102" s="23"/>
      <c r="I102" s="24"/>
      <c r="J102" s="24"/>
      <c r="K102" s="21"/>
      <c r="L102" s="21"/>
      <c r="M102" s="25"/>
      <c r="N102" s="10"/>
      <c r="R102" s="2"/>
    </row>
    <row r="103" spans="1:18" ht="17.25" thickTop="1" thickBot="1" x14ac:dyDescent="0.3">
      <c r="A103" s="39" t="s">
        <v>14</v>
      </c>
      <c r="B103" s="40"/>
      <c r="C103" s="41">
        <f>SUM(C97:C102)</f>
        <v>1828505</v>
      </c>
      <c r="D103" s="41">
        <f>SUM(D97:D102)</f>
        <v>1567297</v>
      </c>
      <c r="E103" s="280">
        <f>(+C103-D103)/D103</f>
        <v>0.16666145599717219</v>
      </c>
      <c r="F103" s="41">
        <f>SUM(F97:F102)</f>
        <v>881879</v>
      </c>
      <c r="G103" s="41">
        <f>SUM(G97:G102)</f>
        <v>755689</v>
      </c>
      <c r="H103" s="42">
        <f>(+F103-G103)/G103</f>
        <v>0.16698668367542732</v>
      </c>
      <c r="I103" s="43">
        <f>K103/C103</f>
        <v>68.45574547512858</v>
      </c>
      <c r="J103" s="43">
        <f>K103/F103</f>
        <v>141.93746860963918</v>
      </c>
      <c r="K103" s="41">
        <f>SUM(K97:K102)</f>
        <v>125171672.88</v>
      </c>
      <c r="L103" s="41">
        <f>SUM(L97:L102)</f>
        <v>104873439.44999999</v>
      </c>
      <c r="M103" s="44">
        <f>(+K103-L103)/L103</f>
        <v>0.193549801898864</v>
      </c>
      <c r="N103" s="10"/>
      <c r="R103" s="2"/>
    </row>
    <row r="104" spans="1:18" ht="15.75" customHeight="1" thickTop="1" x14ac:dyDescent="0.25">
      <c r="A104" s="19"/>
      <c r="B104" s="45"/>
      <c r="C104" s="21"/>
      <c r="D104" s="21"/>
      <c r="E104" s="23"/>
      <c r="F104" s="21"/>
      <c r="G104" s="21"/>
      <c r="H104" s="23"/>
      <c r="I104" s="24"/>
      <c r="J104" s="24"/>
      <c r="K104" s="21"/>
      <c r="L104" s="21"/>
      <c r="M104" s="25"/>
      <c r="N104" s="10"/>
      <c r="R104" s="2"/>
    </row>
    <row r="105" spans="1:18" ht="15.75" x14ac:dyDescent="0.25">
      <c r="A105" s="19" t="s">
        <v>57</v>
      </c>
      <c r="B105" s="20">
        <f>DATE(2021,7,1)</f>
        <v>44378</v>
      </c>
      <c r="C105" s="21">
        <v>70527</v>
      </c>
      <c r="D105" s="21">
        <v>61338</v>
      </c>
      <c r="E105" s="23">
        <f>(+C105-D105)/D105</f>
        <v>0.14980925364374451</v>
      </c>
      <c r="F105" s="21">
        <f>+C105-30135</f>
        <v>40392</v>
      </c>
      <c r="G105" s="21">
        <f>+D105-27914</f>
        <v>33424</v>
      </c>
      <c r="H105" s="23">
        <f>(+F105-G105)/G105</f>
        <v>0.20847295356629966</v>
      </c>
      <c r="I105" s="24">
        <f>K105/C105</f>
        <v>58.011039318275266</v>
      </c>
      <c r="J105" s="24">
        <f>K105/F105</f>
        <v>101.29096281441869</v>
      </c>
      <c r="K105" s="21">
        <v>4091344.57</v>
      </c>
      <c r="L105" s="21">
        <v>3513092.29</v>
      </c>
      <c r="M105" s="25">
        <f>(+K105-L105)/L105</f>
        <v>0.16459922833396437</v>
      </c>
      <c r="N105" s="10"/>
      <c r="R105" s="2"/>
    </row>
    <row r="106" spans="1:18" ht="15.75" x14ac:dyDescent="0.25">
      <c r="A106" s="19"/>
      <c r="B106" s="20">
        <f>DATE(2021,8,1)</f>
        <v>44409</v>
      </c>
      <c r="C106" s="21">
        <v>69916</v>
      </c>
      <c r="D106" s="21">
        <v>61855</v>
      </c>
      <c r="E106" s="23">
        <f>(+C106-D106)/D106</f>
        <v>0.13032091180987795</v>
      </c>
      <c r="F106" s="21">
        <f>+C106-30124</f>
        <v>39792</v>
      </c>
      <c r="G106" s="21">
        <f>+D106-27562</f>
        <v>34293</v>
      </c>
      <c r="H106" s="23">
        <f>(+F106-G106)/G106</f>
        <v>0.16035342489720936</v>
      </c>
      <c r="I106" s="24">
        <f>K106/C106</f>
        <v>56.214888723611196</v>
      </c>
      <c r="J106" s="24">
        <f>K106/F106</f>
        <v>98.771616405307597</v>
      </c>
      <c r="K106" s="21">
        <v>3930320.16</v>
      </c>
      <c r="L106" s="21">
        <v>3548299.04</v>
      </c>
      <c r="M106" s="25">
        <f>(+K106-L106)/L106</f>
        <v>0.10766316922375294</v>
      </c>
      <c r="N106" s="10"/>
      <c r="R106" s="2"/>
    </row>
    <row r="107" spans="1:18" ht="15.75" x14ac:dyDescent="0.25">
      <c r="A107" s="19"/>
      <c r="B107" s="20">
        <f>DATE(2021,9,1)</f>
        <v>44440</v>
      </c>
      <c r="C107" s="21">
        <v>66900</v>
      </c>
      <c r="D107" s="21">
        <v>58255</v>
      </c>
      <c r="E107" s="23">
        <f>(+C107-D107)/D107</f>
        <v>0.14839927903184277</v>
      </c>
      <c r="F107" s="21">
        <f>+C107-28690</f>
        <v>38210</v>
      </c>
      <c r="G107" s="21">
        <f>+D107-26013</f>
        <v>32242</v>
      </c>
      <c r="H107" s="23">
        <f>(+F107-G107)/G107</f>
        <v>0.18510017988958502</v>
      </c>
      <c r="I107" s="24">
        <f>K107/C107</f>
        <v>54.345169955156955</v>
      </c>
      <c r="J107" s="24">
        <f>K107/F107</f>
        <v>95.150271394922797</v>
      </c>
      <c r="K107" s="21">
        <v>3635691.87</v>
      </c>
      <c r="L107" s="21">
        <v>3207756.78</v>
      </c>
      <c r="M107" s="25">
        <f>(+K107-L107)/L107</f>
        <v>0.13340633949186145</v>
      </c>
      <c r="N107" s="10"/>
      <c r="R107" s="2"/>
    </row>
    <row r="108" spans="1:18" ht="15.75" x14ac:dyDescent="0.25">
      <c r="A108" s="19"/>
      <c r="B108" s="20">
        <f>DATE(2021,10,1)</f>
        <v>44470</v>
      </c>
      <c r="C108" s="21">
        <v>71041</v>
      </c>
      <c r="D108" s="21">
        <v>55328</v>
      </c>
      <c r="E108" s="23">
        <f>(+C108-D108)/D108</f>
        <v>0.28399725274725274</v>
      </c>
      <c r="F108" s="21">
        <f>+C108-30775</f>
        <v>40266</v>
      </c>
      <c r="G108" s="21">
        <f>+D108-22799</f>
        <v>32529</v>
      </c>
      <c r="H108" s="23">
        <f>(+F108-G108)/G108</f>
        <v>0.23784930369823851</v>
      </c>
      <c r="I108" s="24">
        <f>K108/C108</f>
        <v>58.034915893638882</v>
      </c>
      <c r="J108" s="24">
        <f>K108/F108</f>
        <v>102.39056424775245</v>
      </c>
      <c r="K108" s="21">
        <v>4122858.46</v>
      </c>
      <c r="L108" s="21">
        <v>2898446.12</v>
      </c>
      <c r="M108" s="25">
        <f>(+K108-L108)/L108</f>
        <v>0.42243750247805184</v>
      </c>
      <c r="N108" s="10"/>
      <c r="R108" s="2"/>
    </row>
    <row r="109" spans="1:18" ht="15.75" x14ac:dyDescent="0.25">
      <c r="A109" s="19"/>
      <c r="B109" s="20">
        <f>DATE(2021,11,1)</f>
        <v>44501</v>
      </c>
      <c r="C109" s="21">
        <v>63538</v>
      </c>
      <c r="D109" s="21">
        <v>49882</v>
      </c>
      <c r="E109" s="23">
        <f>(+C109-D109)/D109</f>
        <v>0.27376608796760354</v>
      </c>
      <c r="F109" s="21">
        <f>+C109-27532</f>
        <v>36006</v>
      </c>
      <c r="G109" s="21">
        <f>+D109-20773</f>
        <v>29109</v>
      </c>
      <c r="H109" s="23">
        <f>(+F109-G109)/G109</f>
        <v>0.23693702978460271</v>
      </c>
      <c r="I109" s="24">
        <f>K109/C109</f>
        <v>58.944575057445938</v>
      </c>
      <c r="J109" s="24">
        <f>K109/F109</f>
        <v>104.01656418374716</v>
      </c>
      <c r="K109" s="21">
        <v>3745220.41</v>
      </c>
      <c r="L109" s="21">
        <v>2559239.66</v>
      </c>
      <c r="M109" s="25">
        <f>(+K109-L109)/L109</f>
        <v>0.46341136726522908</v>
      </c>
      <c r="N109" s="10"/>
      <c r="R109" s="2"/>
    </row>
    <row r="110" spans="1:18" ht="15.75" thickBot="1" x14ac:dyDescent="0.25">
      <c r="A110" s="38"/>
      <c r="B110" s="45"/>
      <c r="C110" s="21"/>
      <c r="D110" s="21"/>
      <c r="E110" s="23"/>
      <c r="F110" s="21"/>
      <c r="G110" s="21"/>
      <c r="H110" s="23"/>
      <c r="I110" s="24"/>
      <c r="J110" s="24"/>
      <c r="K110" s="21"/>
      <c r="L110" s="21"/>
      <c r="M110" s="25"/>
      <c r="N110" s="10"/>
      <c r="R110" s="2"/>
    </row>
    <row r="111" spans="1:18" ht="17.25" thickTop="1" thickBot="1" x14ac:dyDescent="0.3">
      <c r="A111" s="26" t="s">
        <v>14</v>
      </c>
      <c r="B111" s="27"/>
      <c r="C111" s="28">
        <f>SUM(C105:C110)</f>
        <v>341922</v>
      </c>
      <c r="D111" s="28">
        <f>SUM(D105:D110)</f>
        <v>286658</v>
      </c>
      <c r="E111" s="280">
        <f>(+C111-D111)/D111</f>
        <v>0.1927872237997893</v>
      </c>
      <c r="F111" s="28">
        <f>SUM(F105:F110)</f>
        <v>194666</v>
      </c>
      <c r="G111" s="28">
        <f>SUM(G105:G110)</f>
        <v>161597</v>
      </c>
      <c r="H111" s="42">
        <f>(+F111-G111)/G111</f>
        <v>0.2046386999758659</v>
      </c>
      <c r="I111" s="43">
        <f>K111/C111</f>
        <v>57.104940512748527</v>
      </c>
      <c r="J111" s="43">
        <f>K111/F111</f>
        <v>100.30223803848645</v>
      </c>
      <c r="K111" s="28">
        <f>SUM(K105:K110)</f>
        <v>19525435.470000003</v>
      </c>
      <c r="L111" s="28">
        <f>SUM(L105:L110)</f>
        <v>15726833.890000001</v>
      </c>
      <c r="M111" s="44">
        <f>(+K111-L111)/L111</f>
        <v>0.24153631980658008</v>
      </c>
      <c r="N111" s="10"/>
      <c r="R111" s="2"/>
    </row>
    <row r="112" spans="1:18" ht="16.5" thickTop="1" thickBot="1" x14ac:dyDescent="0.25">
      <c r="A112" s="63"/>
      <c r="B112" s="34"/>
      <c r="C112" s="35"/>
      <c r="D112" s="35"/>
      <c r="E112" s="29"/>
      <c r="F112" s="35"/>
      <c r="G112" s="35"/>
      <c r="H112" s="29"/>
      <c r="I112" s="36"/>
      <c r="J112" s="36"/>
      <c r="K112" s="35"/>
      <c r="L112" s="35"/>
      <c r="M112" s="37"/>
      <c r="N112" s="10"/>
      <c r="R112" s="2"/>
    </row>
    <row r="113" spans="1:18" ht="17.25" thickTop="1" thickBot="1" x14ac:dyDescent="0.3">
      <c r="A113" s="64" t="s">
        <v>18</v>
      </c>
      <c r="B113" s="65"/>
      <c r="C113" s="28">
        <f>C111+C103+C47+C63+C71+C31+C15+C79+C87+C39+C95+C23+C55</f>
        <v>12737764</v>
      </c>
      <c r="D113" s="28">
        <f>D111+D103+D47+D63+D71+D31+D15+D79+D87+D39+D95+D23+D55</f>
        <v>10497921</v>
      </c>
      <c r="E113" s="279">
        <f>(+C113-D113)/D113</f>
        <v>0.21336062635639952</v>
      </c>
      <c r="F113" s="28">
        <f>F111+F103+F47+F63+F71+F31+F15+F79+F87+F39+F95+F23+F55</f>
        <v>6460168</v>
      </c>
      <c r="G113" s="28">
        <f>G111+G103+G47+G63+G71+G31+G15+G79+G87+G39+G95+G23+G55</f>
        <v>5355513</v>
      </c>
      <c r="H113" s="30">
        <f>(+F113-G113)/G113</f>
        <v>0.20626502073657557</v>
      </c>
      <c r="I113" s="31">
        <f>K113/C113</f>
        <v>61.703498049579188</v>
      </c>
      <c r="J113" s="31">
        <f>K113/F113</f>
        <v>121.6631821540864</v>
      </c>
      <c r="K113" s="28">
        <f>K111+K103+K47+K63+K71+K31+K15+K79+K87+K39+K95+K23+K55</f>
        <v>785964596.13</v>
      </c>
      <c r="L113" s="28">
        <f>L111+L103+L47+L63+L71+L31+L15+L79+L87+L39+L95+L23+L55</f>
        <v>644855299.16999984</v>
      </c>
      <c r="M113" s="32">
        <f>(+K113-L113)/L113</f>
        <v>0.21882319512861792</v>
      </c>
      <c r="N113" s="10"/>
      <c r="R113" s="2"/>
    </row>
    <row r="114" spans="1:18" ht="17.25" thickTop="1" thickBot="1" x14ac:dyDescent="0.3">
      <c r="A114" s="64"/>
      <c r="B114" s="65"/>
      <c r="C114" s="28"/>
      <c r="D114" s="28"/>
      <c r="E114" s="29"/>
      <c r="F114" s="28"/>
      <c r="G114" s="28"/>
      <c r="H114" s="30"/>
      <c r="I114" s="31"/>
      <c r="J114" s="31"/>
      <c r="K114" s="28"/>
      <c r="L114" s="28"/>
      <c r="M114" s="32"/>
      <c r="N114" s="10"/>
      <c r="R114" s="2"/>
    </row>
    <row r="115" spans="1:18" ht="17.25" thickTop="1" thickBot="1" x14ac:dyDescent="0.3">
      <c r="A115" s="64" t="s">
        <v>19</v>
      </c>
      <c r="B115" s="65"/>
      <c r="C115" s="28">
        <f>SUM(C13+C21+C29+C37+C45+C53+C61+C69+C77+C85+C93+C101+C109)</f>
        <v>2366153</v>
      </c>
      <c r="D115" s="28">
        <f>SUM(D13+D21+D29+D37+D45+D53+D61+D69+D77+D85+D93+D101+D109)</f>
        <v>1987274</v>
      </c>
      <c r="E115" s="279">
        <f>(+C115-D115)/D115</f>
        <v>0.1906526226378446</v>
      </c>
      <c r="F115" s="28">
        <f>SUM(F13+F21+F29+F37+F45+F53+F61+F69+F77+F85+F93+F101+F109)</f>
        <v>1193325</v>
      </c>
      <c r="G115" s="28">
        <f>SUM(G13+G21+G29+G37+G45+G53+G61+G69+G77+G85+G93+G101+G109)</f>
        <v>1015023</v>
      </c>
      <c r="H115" s="30">
        <f>(+F115-G115)/G115</f>
        <v>0.1756630145326756</v>
      </c>
      <c r="I115" s="31">
        <f>K115/C115</f>
        <v>64.159534336959609</v>
      </c>
      <c r="J115" s="31">
        <f>K115/F115</f>
        <v>127.21704032849392</v>
      </c>
      <c r="K115" s="28">
        <f>SUM(K13+K21+K29+K37+K45+K53+K61+K69+K77+K85+K93+K101+K109)</f>
        <v>151811274.65000001</v>
      </c>
      <c r="L115" s="28">
        <f>SUM(L13+L21+L29+L37+L45+L53+L61+L69+L77+L85+L93+L101+L109)</f>
        <v>117906870.39</v>
      </c>
      <c r="M115" s="32">
        <f>(+K115-L115)/L115</f>
        <v>0.28755240596120113</v>
      </c>
      <c r="N115" s="10"/>
      <c r="R115" s="2"/>
    </row>
    <row r="116" spans="1:18" ht="15.75" thickTop="1" x14ac:dyDescent="0.2">
      <c r="A116" s="66"/>
      <c r="B116" s="67"/>
      <c r="C116" s="68"/>
      <c r="D116" s="67"/>
      <c r="E116" s="67"/>
      <c r="F116" s="67"/>
      <c r="G116" s="67"/>
      <c r="H116" s="67"/>
      <c r="I116" s="67"/>
      <c r="J116" s="67"/>
      <c r="K116" s="68"/>
      <c r="L116" s="68"/>
      <c r="M116" s="67"/>
      <c r="R116" s="2"/>
    </row>
    <row r="117" spans="1:18" ht="18.75" x14ac:dyDescent="0.3">
      <c r="A117" s="264" t="s">
        <v>20</v>
      </c>
      <c r="B117" s="70"/>
      <c r="C117" s="71"/>
      <c r="D117" s="71"/>
      <c r="E117" s="71"/>
      <c r="F117" s="71"/>
      <c r="G117" s="71"/>
      <c r="H117" s="71"/>
      <c r="I117" s="71"/>
      <c r="J117" s="71"/>
      <c r="K117" s="198"/>
      <c r="L117" s="198"/>
      <c r="M117" s="71"/>
      <c r="N117" s="2"/>
      <c r="O117" s="2"/>
      <c r="P117" s="2"/>
      <c r="Q117" s="2"/>
      <c r="R117" s="2"/>
    </row>
    <row r="118" spans="1:18" ht="18" x14ac:dyDescent="0.25">
      <c r="A118" s="69"/>
      <c r="B118" s="70"/>
      <c r="C118" s="71"/>
      <c r="D118" s="71"/>
      <c r="E118" s="71"/>
      <c r="F118" s="71"/>
      <c r="G118" s="71"/>
      <c r="H118" s="71"/>
      <c r="I118" s="71"/>
      <c r="J118" s="71"/>
      <c r="K118" s="198"/>
      <c r="L118" s="198"/>
      <c r="M118" s="71"/>
      <c r="N118" s="2"/>
      <c r="O118" s="2"/>
      <c r="P118" s="2"/>
      <c r="Q118" s="2"/>
      <c r="R118" s="2"/>
    </row>
    <row r="119" spans="1:18" ht="15.75" x14ac:dyDescent="0.25">
      <c r="A119" s="72"/>
      <c r="B119" s="73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73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73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x14ac:dyDescent="0.2">
      <c r="A122" s="2"/>
      <c r="B122" s="73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73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73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73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x14ac:dyDescent="0.2">
      <c r="A126" s="2"/>
      <c r="B126" s="73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73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3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4"/>
      <c r="N128" s="2"/>
      <c r="O128" s="2"/>
      <c r="P128" s="2"/>
      <c r="Q128" s="2"/>
      <c r="R128" s="2"/>
    </row>
    <row r="129" spans="1:18" x14ac:dyDescent="0.2">
      <c r="A129" s="2"/>
      <c r="B129" s="73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4"/>
      <c r="N129" s="2"/>
      <c r="O129" s="2"/>
      <c r="P129" s="2"/>
      <c r="Q129" s="2"/>
      <c r="R129" s="2"/>
    </row>
    <row r="130" spans="1:18" x14ac:dyDescent="0.2">
      <c r="A130" s="2"/>
      <c r="B130" s="70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4"/>
      <c r="N130" s="2"/>
      <c r="O130" s="2"/>
      <c r="P130" s="2"/>
      <c r="Q130" s="2"/>
      <c r="R130" s="2"/>
    </row>
    <row r="131" spans="1:18" ht="15.75" x14ac:dyDescent="0.25">
      <c r="A131" s="76"/>
      <c r="B131" s="70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ht="15.75" x14ac:dyDescent="0.25">
      <c r="A132" s="76"/>
      <c r="B132" s="70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ht="15.75" x14ac:dyDescent="0.25">
      <c r="A133" s="76"/>
      <c r="B133" s="70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70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ht="15.75" x14ac:dyDescent="0.25">
      <c r="A135" s="76"/>
      <c r="B135" s="73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73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73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77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77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x14ac:dyDescent="0.2">
      <c r="A140" s="2"/>
      <c r="B140" s="77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77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77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77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ht="15.75" x14ac:dyDescent="0.25">
      <c r="A148" s="76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ht="15.75" x14ac:dyDescent="0.25">
      <c r="A151" s="76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ht="15.75" x14ac:dyDescent="0.25">
      <c r="A152" s="76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ht="15.75" x14ac:dyDescent="0.25">
      <c r="A153" s="76"/>
      <c r="B153" s="77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77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77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77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77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77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77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77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77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77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77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77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ht="15.75" x14ac:dyDescent="0.25">
      <c r="A166" s="76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ht="15.75" x14ac:dyDescent="0.25">
      <c r="A169" s="76"/>
      <c r="B169" s="77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77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77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ht="15.75" x14ac:dyDescent="0.25">
      <c r="A175" s="76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ht="15.75" x14ac:dyDescent="0.25">
      <c r="A178" s="76"/>
      <c r="B178" s="76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55" max="12" man="1"/>
    <brk id="10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view="pageBreakPreview" zoomScale="6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64</v>
      </c>
      <c r="E7" s="275" t="s">
        <v>56</v>
      </c>
      <c r="F7" s="84" t="s">
        <v>62</v>
      </c>
      <c r="G7" s="84" t="s">
        <v>65</v>
      </c>
      <c r="H7" s="84" t="s">
        <v>71</v>
      </c>
      <c r="I7" s="84" t="s">
        <v>52</v>
      </c>
      <c r="J7" s="84" t="s">
        <v>25</v>
      </c>
      <c r="K7" s="84" t="s">
        <v>53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DATE(2021,7,1)</f>
        <v>44378</v>
      </c>
      <c r="B10" s="89">
        <f>'MONTHLY STATS'!$C$9*2</f>
        <v>465606</v>
      </c>
      <c r="C10" s="89">
        <f>'MONTHLY STATS'!$C$17*2</f>
        <v>232214</v>
      </c>
      <c r="D10" s="89">
        <f>'MONTHLY STATS'!$C$25*2</f>
        <v>133674</v>
      </c>
      <c r="E10" s="89">
        <f>'MONTHLY STATS'!$C$33*2</f>
        <v>674450</v>
      </c>
      <c r="F10" s="89">
        <f>'MONTHLY STATS'!$C$41*2</f>
        <v>512458</v>
      </c>
      <c r="G10" s="89">
        <f>'MONTHLY STATS'!$C$49*2</f>
        <v>208586</v>
      </c>
      <c r="H10" s="89">
        <f>'MONTHLY STATS'!$C$57*2</f>
        <v>449386</v>
      </c>
      <c r="I10" s="89">
        <f>'MONTHLY STATS'!$C$65*2</f>
        <v>502180</v>
      </c>
      <c r="J10" s="89">
        <f>'MONTHLY STATS'!$C$73*2</f>
        <v>585252</v>
      </c>
      <c r="K10" s="89">
        <f>'MONTHLY STATS'!$C$81*2</f>
        <v>677802</v>
      </c>
      <c r="L10" s="89">
        <f>'MONTHLY STATS'!$C$89*2</f>
        <v>109046</v>
      </c>
      <c r="M10" s="89">
        <f>'MONTHLY STATS'!$C$97*2</f>
        <v>790810</v>
      </c>
      <c r="N10" s="89">
        <f>'MONTHLY STATS'!$C$105*2</f>
        <v>141054</v>
      </c>
      <c r="O10" s="90">
        <f>SUM(B10:N10)</f>
        <v>5482518</v>
      </c>
      <c r="P10" s="83"/>
    </row>
    <row r="11" spans="1:16" ht="15.75" x14ac:dyDescent="0.25">
      <c r="A11" s="88">
        <f>DATE(2021,8,1)</f>
        <v>44409</v>
      </c>
      <c r="B11" s="89">
        <f>'MONTHLY STATS'!$C$10*2</f>
        <v>450908</v>
      </c>
      <c r="C11" s="89">
        <f>'MONTHLY STATS'!$C$18*2</f>
        <v>206706</v>
      </c>
      <c r="D11" s="89">
        <f>'MONTHLY STATS'!$C$26*2</f>
        <v>112224</v>
      </c>
      <c r="E11" s="89">
        <f>'MONTHLY STATS'!$C$34*2</f>
        <v>604600</v>
      </c>
      <c r="F11" s="89">
        <f>'MONTHLY STATS'!$C$42*2</f>
        <v>465706</v>
      </c>
      <c r="G11" s="89">
        <f>'MONTHLY STATS'!$C$50*2</f>
        <v>186244</v>
      </c>
      <c r="H11" s="89">
        <f>'MONTHLY STATS'!$C$58*2</f>
        <v>507374</v>
      </c>
      <c r="I11" s="89">
        <f>'MONTHLY STATS'!$C$66*2</f>
        <v>430958</v>
      </c>
      <c r="J11" s="89">
        <f>'MONTHLY STATS'!$C$74*2</f>
        <v>505624</v>
      </c>
      <c r="K11" s="89">
        <f>'MONTHLY STATS'!$C$82*2</f>
        <v>631006</v>
      </c>
      <c r="L11" s="89">
        <f>'MONTHLY STATS'!$C$90*2</f>
        <v>95368</v>
      </c>
      <c r="M11" s="89">
        <f>'MONTHLY STATS'!$C$98*2</f>
        <v>743268</v>
      </c>
      <c r="N11" s="89">
        <f>'MONTHLY STATS'!$C$106*2</f>
        <v>139832</v>
      </c>
      <c r="O11" s="90">
        <f>SUM(B11:N11)</f>
        <v>5079818</v>
      </c>
      <c r="P11" s="83"/>
    </row>
    <row r="12" spans="1:16" ht="15.75" x14ac:dyDescent="0.25">
      <c r="A12" s="88">
        <f>DATE(2021,9,1)</f>
        <v>44440</v>
      </c>
      <c r="B12" s="89">
        <f>'MONTHLY STATS'!$C$11*2</f>
        <v>412100</v>
      </c>
      <c r="C12" s="89">
        <f>'MONTHLY STATS'!$C$19*2</f>
        <v>207192</v>
      </c>
      <c r="D12" s="89">
        <f>'MONTHLY STATS'!$C$27*2</f>
        <v>116168</v>
      </c>
      <c r="E12" s="89">
        <f>'MONTHLY STATS'!$C$35*2</f>
        <v>672284</v>
      </c>
      <c r="F12" s="89">
        <f>'MONTHLY STATS'!$C$43*2</f>
        <v>448838</v>
      </c>
      <c r="G12" s="89">
        <f>'MONTHLY STATS'!$C$51*2</f>
        <v>184408</v>
      </c>
      <c r="H12" s="89">
        <f>'MONTHLY STATS'!$C$59*2</f>
        <v>471842</v>
      </c>
      <c r="I12" s="89">
        <f>'MONTHLY STATS'!$C$67*2</f>
        <v>427862</v>
      </c>
      <c r="J12" s="89">
        <f>'MONTHLY STATS'!$C$75*2</f>
        <v>491984</v>
      </c>
      <c r="K12" s="89">
        <f>'MONTHLY STATS'!$C$83*2</f>
        <v>658594</v>
      </c>
      <c r="L12" s="89">
        <f>'MONTHLY STATS'!$C$91*2</f>
        <v>94578</v>
      </c>
      <c r="M12" s="89">
        <f>'MONTHLY STATS'!$C$99*2</f>
        <v>707554</v>
      </c>
      <c r="N12" s="89">
        <f>'MONTHLY STATS'!$C$107*2</f>
        <v>133800</v>
      </c>
      <c r="O12" s="90">
        <f>SUM(B12:N12)</f>
        <v>5027204</v>
      </c>
      <c r="P12" s="83"/>
    </row>
    <row r="13" spans="1:16" ht="15.75" x14ac:dyDescent="0.25">
      <c r="A13" s="88">
        <f>DATE(2021,10,1)</f>
        <v>44470</v>
      </c>
      <c r="B13" s="89">
        <f>'MONTHLY STATS'!$C$12*2</f>
        <v>439076</v>
      </c>
      <c r="C13" s="89">
        <f>'MONTHLY STATS'!$C$20*2</f>
        <v>220158</v>
      </c>
      <c r="D13" s="89">
        <f>'MONTHLY STATS'!$C$28*2</f>
        <v>115720</v>
      </c>
      <c r="E13" s="89">
        <f>'MONTHLY STATS'!$C$36*2</f>
        <v>667614</v>
      </c>
      <c r="F13" s="89">
        <f>'MONTHLY STATS'!$C$44*2</f>
        <v>463784</v>
      </c>
      <c r="G13" s="89">
        <f>'MONTHLY STATS'!$C$52*2</f>
        <v>186650</v>
      </c>
      <c r="H13" s="89">
        <f>'MONTHLY STATS'!$C$60*2</f>
        <v>443600</v>
      </c>
      <c r="I13" s="89">
        <f>'MONTHLY STATS'!$C$68*2</f>
        <v>425830</v>
      </c>
      <c r="J13" s="89">
        <f>'MONTHLY STATS'!$C$76*2</f>
        <v>531886</v>
      </c>
      <c r="K13" s="89">
        <f>'MONTHLY STATS'!$C$84*2</f>
        <v>686336</v>
      </c>
      <c r="L13" s="89">
        <f>'MONTHLY STATS'!$C$92*2</f>
        <v>102038</v>
      </c>
      <c r="M13" s="89">
        <f>'MONTHLY STATS'!$C$100*2</f>
        <v>728908</v>
      </c>
      <c r="N13" s="89">
        <f>'MONTHLY STATS'!$C$108*2</f>
        <v>142082</v>
      </c>
      <c r="O13" s="90">
        <f>SUM(B13:N13)</f>
        <v>5153682</v>
      </c>
      <c r="P13" s="83"/>
    </row>
    <row r="14" spans="1:16" ht="15.75" x14ac:dyDescent="0.25">
      <c r="A14" s="88">
        <f>DATE(2021,11,1)</f>
        <v>44501</v>
      </c>
      <c r="B14" s="89">
        <f>'MONTHLY STATS'!$C$13*2</f>
        <v>402662</v>
      </c>
      <c r="C14" s="89">
        <f>'MONTHLY STATS'!$C$21*2</f>
        <v>190628</v>
      </c>
      <c r="D14" s="89">
        <f>'MONTHLY STATS'!$C$29*2</f>
        <v>103506</v>
      </c>
      <c r="E14" s="89">
        <f>'MONTHLY STATS'!$C$37*2</f>
        <v>606872</v>
      </c>
      <c r="F14" s="89">
        <f>'MONTHLY STATS'!$C$45*2</f>
        <v>439354</v>
      </c>
      <c r="G14" s="89">
        <f>'MONTHLY STATS'!$C$53*2</f>
        <v>175200</v>
      </c>
      <c r="H14" s="89">
        <f>'MONTHLY STATS'!$C$61*2</f>
        <v>403800</v>
      </c>
      <c r="I14" s="89">
        <f>'MONTHLY STATS'!$C$69*2</f>
        <v>368842</v>
      </c>
      <c r="J14" s="89">
        <f>'MONTHLY STATS'!$C$77*2</f>
        <v>503654</v>
      </c>
      <c r="K14" s="89">
        <f>'MONTHLY STATS'!$C$85*2</f>
        <v>638286</v>
      </c>
      <c r="L14" s="89">
        <f>'MONTHLY STATS'!$C$93*2</f>
        <v>85956</v>
      </c>
      <c r="M14" s="89">
        <f>'MONTHLY STATS'!$C$101*2</f>
        <v>686470</v>
      </c>
      <c r="N14" s="89">
        <f>'MONTHLY STATS'!$C$109*2</f>
        <v>127076</v>
      </c>
      <c r="O14" s="90">
        <f>SUM(B14:N14)</f>
        <v>4732306</v>
      </c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2170352</v>
      </c>
      <c r="C23" s="90">
        <f t="shared" si="0"/>
        <v>1056898</v>
      </c>
      <c r="D23" s="90">
        <f t="shared" si="0"/>
        <v>581292</v>
      </c>
      <c r="E23" s="90">
        <f t="shared" si="0"/>
        <v>3225820</v>
      </c>
      <c r="F23" s="90">
        <f t="shared" si="0"/>
        <v>2330140</v>
      </c>
      <c r="G23" s="90">
        <f>SUM(G10:G21)</f>
        <v>941088</v>
      </c>
      <c r="H23" s="90">
        <f t="shared" si="0"/>
        <v>2276002</v>
      </c>
      <c r="I23" s="90">
        <f>SUM(I10:I21)</f>
        <v>2155672</v>
      </c>
      <c r="J23" s="90">
        <f t="shared" si="0"/>
        <v>2618400</v>
      </c>
      <c r="K23" s="90">
        <f>SUM(K10:K21)</f>
        <v>3292024</v>
      </c>
      <c r="L23" s="90">
        <f t="shared" si="0"/>
        <v>486986</v>
      </c>
      <c r="M23" s="90">
        <f t="shared" si="0"/>
        <v>3657010</v>
      </c>
      <c r="N23" s="90">
        <f t="shared" si="0"/>
        <v>683844</v>
      </c>
      <c r="O23" s="90">
        <f t="shared" si="0"/>
        <v>25475528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64</v>
      </c>
      <c r="E28" s="275" t="s">
        <v>56</v>
      </c>
      <c r="F28" s="84" t="s">
        <v>62</v>
      </c>
      <c r="G28" s="84" t="s">
        <v>65</v>
      </c>
      <c r="H28" s="84" t="s">
        <v>71</v>
      </c>
      <c r="I28" s="84" t="s">
        <v>52</v>
      </c>
      <c r="J28" s="84" t="s">
        <v>25</v>
      </c>
      <c r="K28" s="106" t="s">
        <v>53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DATE(2021,7,1)</f>
        <v>44378</v>
      </c>
      <c r="B31" s="89">
        <f>'MONTHLY STATS'!$K$9*0.21</f>
        <v>3347290.5080999997</v>
      </c>
      <c r="C31" s="89">
        <f>'MONTHLY STATS'!$K$17*0.21</f>
        <v>1692376.4865000001</v>
      </c>
      <c r="D31" s="89">
        <f>'MONTHLY STATS'!$K$25*0.21</f>
        <v>966002.71950000001</v>
      </c>
      <c r="E31" s="89">
        <f>'MONTHLY STATS'!$K$33*0.21</f>
        <v>4051465.2297</v>
      </c>
      <c r="F31" s="89">
        <f>'MONTHLY STATS'!$K$41*0.21</f>
        <v>3404376.3956999998</v>
      </c>
      <c r="G31" s="89">
        <f>'MONTHLY STATS'!$K$49*0.21</f>
        <v>1359356.1113999998</v>
      </c>
      <c r="H31" s="89">
        <f>'MONTHLY STATS'!$K$57*0.21</f>
        <v>1998001.6497</v>
      </c>
      <c r="I31" s="89">
        <f>'MONTHLY STATS'!$K$65*0.21</f>
        <v>3112641.8021999998</v>
      </c>
      <c r="J31" s="89">
        <f>'MONTHLY STATS'!$K$73*0.21</f>
        <v>3802869.9155999999</v>
      </c>
      <c r="K31" s="89">
        <f>'MONTHLY STATS'!$K$81*0.21</f>
        <v>4229164.4597999994</v>
      </c>
      <c r="L31" s="89">
        <f>'MONTHLY STATS'!$K$89*0.21</f>
        <v>763729.81019999995</v>
      </c>
      <c r="M31" s="89">
        <f>'MONTHLY STATS'!$K$97*0.21</f>
        <v>5560718.5472999997</v>
      </c>
      <c r="N31" s="89">
        <f>'MONTHLY STATS'!$K$105*0.21</f>
        <v>859182.35969999991</v>
      </c>
      <c r="O31" s="90">
        <f>SUM(B31:N31)</f>
        <v>35147175.995400004</v>
      </c>
      <c r="P31" s="83"/>
    </row>
    <row r="32" spans="1:16" ht="15.75" x14ac:dyDescent="0.25">
      <c r="A32" s="88">
        <f>DATE(2021,8,1)</f>
        <v>44409</v>
      </c>
      <c r="B32" s="89">
        <f>'MONTHLY STATS'!$K$10*0.21</f>
        <v>3166085.3951999997</v>
      </c>
      <c r="C32" s="89">
        <f>'MONTHLY STATS'!$K$18*0.21</f>
        <v>1509930.7881</v>
      </c>
      <c r="D32" s="89">
        <f>'MONTHLY STATS'!$K$26*0.21</f>
        <v>806000.47290000005</v>
      </c>
      <c r="E32" s="89">
        <f>'MONTHLY STATS'!$K$34*0.21</f>
        <v>3699418.1552999998</v>
      </c>
      <c r="F32" s="89">
        <f>'MONTHLY STATS'!$K$42*0.21</f>
        <v>2811660.0855</v>
      </c>
      <c r="G32" s="89">
        <f>'MONTHLY STATS'!$K$50*0.21</f>
        <v>1231968.5007</v>
      </c>
      <c r="H32" s="89">
        <f>'MONTHLY STATS'!$K$58*0.21</f>
        <v>1988771.3873999999</v>
      </c>
      <c r="I32" s="89">
        <f>'MONTHLY STATS'!$K$66*0.21</f>
        <v>2755751.5986000001</v>
      </c>
      <c r="J32" s="89">
        <f>'MONTHLY STATS'!$K$74*0.21</f>
        <v>3419526.1169999996</v>
      </c>
      <c r="K32" s="89">
        <f>'MONTHLY STATS'!$K$82*0.21</f>
        <v>4030922.8196999999</v>
      </c>
      <c r="L32" s="89">
        <f>'MONTHLY STATS'!$K$90*0.21</f>
        <v>677192.16389999993</v>
      </c>
      <c r="M32" s="89">
        <f>'MONTHLY STATS'!$K$98*0.21</f>
        <v>5128975.6055999994</v>
      </c>
      <c r="N32" s="89">
        <f>'MONTHLY STATS'!$K$106*0.21</f>
        <v>825367.23360000004</v>
      </c>
      <c r="O32" s="90">
        <f>SUM(B32:N32)</f>
        <v>32051570.323499996</v>
      </c>
      <c r="P32" s="83"/>
    </row>
    <row r="33" spans="1:16" ht="15.75" x14ac:dyDescent="0.25">
      <c r="A33" s="88">
        <f>DATE(2021,9,1)</f>
        <v>44440</v>
      </c>
      <c r="B33" s="89">
        <f>'MONTHLY STATS'!$K$11*0.21</f>
        <v>2914050.8711999999</v>
      </c>
      <c r="C33" s="89">
        <f>'MONTHLY STATS'!$K$19*0.21</f>
        <v>1602237.4431</v>
      </c>
      <c r="D33" s="89">
        <f>'MONTHLY STATS'!$K$27*0.21</f>
        <v>858189.42090000003</v>
      </c>
      <c r="E33" s="89">
        <f>'MONTHLY STATS'!$K$35*0.21</f>
        <v>4071781.6902000001</v>
      </c>
      <c r="F33" s="89">
        <f>'MONTHLY STATS'!$K$43*0.21</f>
        <v>3042866.5427999999</v>
      </c>
      <c r="G33" s="89">
        <f>'MONTHLY STATS'!$K$51*0.21</f>
        <v>1257725.1036</v>
      </c>
      <c r="H33" s="89">
        <f>'MONTHLY STATS'!$K$59*0.21</f>
        <v>2110648.4133000001</v>
      </c>
      <c r="I33" s="89">
        <f>'MONTHLY STATS'!$K$67*0.21</f>
        <v>2545471.0763999997</v>
      </c>
      <c r="J33" s="89">
        <f>'MONTHLY STATS'!$K$75*0.21</f>
        <v>3038934.9794999999</v>
      </c>
      <c r="K33" s="89">
        <f>'MONTHLY STATS'!$K$83*0.21</f>
        <v>4090020.0474</v>
      </c>
      <c r="L33" s="89">
        <f>'MONTHLY STATS'!$K$91*0.21</f>
        <v>660366.03149999992</v>
      </c>
      <c r="M33" s="89">
        <f>'MONTHLY STATS'!$K$99*0.21</f>
        <v>4989167.7905999999</v>
      </c>
      <c r="N33" s="89">
        <f>'MONTHLY STATS'!$K$107*0.21</f>
        <v>763495.29269999999</v>
      </c>
      <c r="O33" s="90">
        <f>SUM(B33:N33)</f>
        <v>31944954.703200005</v>
      </c>
      <c r="P33" s="83"/>
    </row>
    <row r="34" spans="1:16" ht="15.75" x14ac:dyDescent="0.25">
      <c r="A34" s="88">
        <f>DATE(2021,10,1)</f>
        <v>44470</v>
      </c>
      <c r="B34" s="89">
        <f>'MONTHLY STATS'!$K$12*0.21</f>
        <v>3202283.8911000001</v>
      </c>
      <c r="C34" s="89">
        <f>'MONTHLY STATS'!$K$20*0.21</f>
        <v>1646199.1895999999</v>
      </c>
      <c r="D34" s="89">
        <f>'MONTHLY STATS'!$K$28*0.21</f>
        <v>861622.56809999992</v>
      </c>
      <c r="E34" s="89">
        <f>'MONTHLY STATS'!$K$36*0.21</f>
        <v>4026629.2458000001</v>
      </c>
      <c r="F34" s="89">
        <f>'MONTHLY STATS'!$K$44*0.21</f>
        <v>3131092.1816999996</v>
      </c>
      <c r="G34" s="89">
        <f>'MONTHLY STATS'!$K$52*0.21</f>
        <v>1210593.4700999998</v>
      </c>
      <c r="H34" s="89">
        <f>'MONTHLY STATS'!$K$60*0.21</f>
        <v>2183798.0156999999</v>
      </c>
      <c r="I34" s="89">
        <f>'MONTHLY STATS'!$K$68*0.21</f>
        <v>2694564.7301999996</v>
      </c>
      <c r="J34" s="89">
        <f>'MONTHLY STATS'!$K$76*0.21</f>
        <v>3463632.4316999996</v>
      </c>
      <c r="K34" s="89">
        <f>'MONTHLY STATS'!$K$84*0.21</f>
        <v>4415796.3128999993</v>
      </c>
      <c r="L34" s="89">
        <f>'MONTHLY STATS'!$K$92*0.21</f>
        <v>733979.07030000002</v>
      </c>
      <c r="M34" s="89">
        <f>'MONTHLY STATS'!$K$100*0.21</f>
        <v>5592505.1048999997</v>
      </c>
      <c r="N34" s="89">
        <f>'MONTHLY STATS'!$K$108*0.21</f>
        <v>865800.27659999998</v>
      </c>
      <c r="O34" s="90">
        <f>SUM(B34:N34)</f>
        <v>34028496.488699995</v>
      </c>
      <c r="P34" s="83"/>
    </row>
    <row r="35" spans="1:16" ht="15.75" x14ac:dyDescent="0.25">
      <c r="A35" s="88">
        <f>DATE(2021,11,1)</f>
        <v>44501</v>
      </c>
      <c r="B35" s="89">
        <f>'MONTHLY STATS'!$K$13*0.21</f>
        <v>2842089.2094000001</v>
      </c>
      <c r="C35" s="89">
        <f>'MONTHLY STATS'!$K$21*0.21</f>
        <v>1427173.0493999999</v>
      </c>
      <c r="D35" s="89">
        <f>'MONTHLY STATS'!$K$29*0.21</f>
        <v>776239.16579999996</v>
      </c>
      <c r="E35" s="89">
        <f>'MONTHLY STATS'!$K$37*0.21</f>
        <v>3955215.5244</v>
      </c>
      <c r="F35" s="89">
        <f>'MONTHLY STATS'!$K$45*0.21</f>
        <v>3166545.8832</v>
      </c>
      <c r="G35" s="89">
        <f>'MONTHLY STATS'!$K$53*0.21</f>
        <v>1193974.2254999999</v>
      </c>
      <c r="H35" s="89">
        <f>'MONTHLY STATS'!$K$61*0.21</f>
        <v>2017320.8328</v>
      </c>
      <c r="I35" s="89">
        <f>'MONTHLY STATS'!$K$69*0.21</f>
        <v>2493711.2319</v>
      </c>
      <c r="J35" s="89">
        <f>'MONTHLY STATS'!$K$77*0.21</f>
        <v>3372650.1543000001</v>
      </c>
      <c r="K35" s="89">
        <f>'MONTHLY STATS'!$K$85*0.21</f>
        <v>4163945.6963999998</v>
      </c>
      <c r="L35" s="89">
        <f>'MONTHLY STATS'!$K$93*0.21</f>
        <v>670322.16090000002</v>
      </c>
      <c r="M35" s="89">
        <f>'MONTHLY STATS'!$K$101*0.21</f>
        <v>5014684.2563999994</v>
      </c>
      <c r="N35" s="89">
        <f>'MONTHLY STATS'!$K$109*0.21</f>
        <v>786496.28610000003</v>
      </c>
      <c r="O35" s="90">
        <f>SUM(B35:N35)</f>
        <v>31880367.6765</v>
      </c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15471799.875</v>
      </c>
      <c r="C44" s="90">
        <f t="shared" si="1"/>
        <v>7877916.9567</v>
      </c>
      <c r="D44" s="90">
        <f t="shared" si="1"/>
        <v>4268054.3471999997</v>
      </c>
      <c r="E44" s="90">
        <f t="shared" si="1"/>
        <v>19804509.845399998</v>
      </c>
      <c r="F44" s="90">
        <f t="shared" si="1"/>
        <v>15556541.0889</v>
      </c>
      <c r="G44" s="90">
        <f t="shared" si="1"/>
        <v>6253617.4112999989</v>
      </c>
      <c r="H44" s="90">
        <f t="shared" si="1"/>
        <v>10298540.298900001</v>
      </c>
      <c r="I44" s="90">
        <f>SUM(I31:I42)</f>
        <v>13602140.439300001</v>
      </c>
      <c r="J44" s="90">
        <f t="shared" si="1"/>
        <v>17097613.598099999</v>
      </c>
      <c r="K44" s="90">
        <f>SUM(K31:K42)</f>
        <v>20929849.336199999</v>
      </c>
      <c r="L44" s="90">
        <f t="shared" si="1"/>
        <v>3505589.2367999996</v>
      </c>
      <c r="M44" s="90">
        <f t="shared" si="1"/>
        <v>26286051.3048</v>
      </c>
      <c r="N44" s="90">
        <f t="shared" si="1"/>
        <v>4100341.4487000001</v>
      </c>
      <c r="O44" s="90">
        <f t="shared" si="1"/>
        <v>165052565.1873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18"/>
  <sheetViews>
    <sheetView showOutlineSymbols="0" view="pageBreakPreview" topLeftCell="A58" zoomScale="60" zoomScaleNormal="100" workbookViewId="0">
      <selection activeCell="L107" sqref="L107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DATE(2021,7,1)</f>
        <v>44378</v>
      </c>
      <c r="C9" s="204">
        <v>13122165.060000001</v>
      </c>
      <c r="D9" s="204">
        <v>2401856.06</v>
      </c>
      <c r="E9" s="204">
        <v>1959351.91</v>
      </c>
      <c r="F9" s="132">
        <f>(+D9-E9)/E9</f>
        <v>0.22584210000336294</v>
      </c>
      <c r="G9" s="215">
        <f>D9/C9</f>
        <v>0.18303809234358159</v>
      </c>
      <c r="H9" s="123"/>
    </row>
    <row r="10" spans="1:8" ht="15.75" x14ac:dyDescent="0.25">
      <c r="A10" s="130"/>
      <c r="B10" s="131">
        <f>DATE(2021,8,1)</f>
        <v>44409</v>
      </c>
      <c r="C10" s="204">
        <v>12766088.5</v>
      </c>
      <c r="D10" s="204">
        <v>2504601.5</v>
      </c>
      <c r="E10" s="204">
        <v>1563543</v>
      </c>
      <c r="F10" s="132">
        <f>(+D10-E10)/E10</f>
        <v>0.60187567594879066</v>
      </c>
      <c r="G10" s="215">
        <f>D10/C10</f>
        <v>0.19619177009465349</v>
      </c>
      <c r="H10" s="123"/>
    </row>
    <row r="11" spans="1:8" ht="15.75" x14ac:dyDescent="0.25">
      <c r="A11" s="130"/>
      <c r="B11" s="131">
        <f>DATE(2021,9,1)</f>
        <v>44440</v>
      </c>
      <c r="C11" s="204">
        <v>12839885</v>
      </c>
      <c r="D11" s="204">
        <v>1944156.5</v>
      </c>
      <c r="E11" s="204">
        <v>1378249</v>
      </c>
      <c r="F11" s="132">
        <f>(+D11-E11)/E11</f>
        <v>0.41059888307555459</v>
      </c>
      <c r="G11" s="215">
        <f>D11/C11</f>
        <v>0.15141541376733514</v>
      </c>
      <c r="H11" s="123"/>
    </row>
    <row r="12" spans="1:8" ht="15.75" x14ac:dyDescent="0.25">
      <c r="A12" s="130"/>
      <c r="B12" s="131">
        <f>DATE(2021,10,1)</f>
        <v>44470</v>
      </c>
      <c r="C12" s="204">
        <v>12492840</v>
      </c>
      <c r="D12" s="204">
        <v>2656668</v>
      </c>
      <c r="E12" s="204">
        <v>1495832.5</v>
      </c>
      <c r="F12" s="132">
        <f>(+D12-E12)/E12</f>
        <v>0.77604644905094655</v>
      </c>
      <c r="G12" s="215">
        <f>D12/C12</f>
        <v>0.21265524892658516</v>
      </c>
      <c r="H12" s="123"/>
    </row>
    <row r="13" spans="1:8" ht="15.75" x14ac:dyDescent="0.25">
      <c r="A13" s="130"/>
      <c r="B13" s="131">
        <f>DATE(2021,11,1)</f>
        <v>44501</v>
      </c>
      <c r="C13" s="204">
        <v>11905927</v>
      </c>
      <c r="D13" s="204">
        <v>2254397</v>
      </c>
      <c r="E13" s="204">
        <v>1446618</v>
      </c>
      <c r="F13" s="132">
        <f>(+D13-E13)/E13</f>
        <v>0.55839136523947575</v>
      </c>
      <c r="G13" s="215">
        <f>D13/C13</f>
        <v>0.1893508166142796</v>
      </c>
      <c r="H13" s="123"/>
    </row>
    <row r="14" spans="1:8" ht="15.75" thickBot="1" x14ac:dyDescent="0.25">
      <c r="A14" s="133"/>
      <c r="B14" s="134"/>
      <c r="C14" s="204"/>
      <c r="D14" s="204"/>
      <c r="E14" s="204"/>
      <c r="F14" s="132"/>
      <c r="G14" s="215"/>
      <c r="H14" s="123"/>
    </row>
    <row r="15" spans="1:8" ht="17.25" thickTop="1" thickBot="1" x14ac:dyDescent="0.3">
      <c r="A15" s="135" t="s">
        <v>14</v>
      </c>
      <c r="B15" s="136"/>
      <c r="C15" s="201">
        <f>SUM(C9:C14)</f>
        <v>63126905.560000002</v>
      </c>
      <c r="D15" s="201">
        <f>SUM(D9:D14)</f>
        <v>11761679.060000001</v>
      </c>
      <c r="E15" s="201">
        <f>SUM(E9:E14)</f>
        <v>7843594.4100000001</v>
      </c>
      <c r="F15" s="137">
        <f>(+D15-E15)/E15</f>
        <v>0.49952667682621804</v>
      </c>
      <c r="G15" s="212">
        <f>D15/C15</f>
        <v>0.18631800427506967</v>
      </c>
      <c r="H15" s="123"/>
    </row>
    <row r="16" spans="1:8" ht="15.75" customHeight="1" thickTop="1" x14ac:dyDescent="0.25">
      <c r="A16" s="138"/>
      <c r="B16" s="139"/>
      <c r="C16" s="205"/>
      <c r="D16" s="205"/>
      <c r="E16" s="205"/>
      <c r="F16" s="140"/>
      <c r="G16" s="216"/>
      <c r="H16" s="123"/>
    </row>
    <row r="17" spans="1:8" ht="15.75" x14ac:dyDescent="0.25">
      <c r="A17" s="19" t="s">
        <v>15</v>
      </c>
      <c r="B17" s="131">
        <f>DATE(2021,7,1)</f>
        <v>44378</v>
      </c>
      <c r="C17" s="204">
        <v>2659715</v>
      </c>
      <c r="D17" s="204">
        <v>753311.5</v>
      </c>
      <c r="E17" s="204">
        <v>547209</v>
      </c>
      <c r="F17" s="132">
        <f>(+D17-E17)/E17</f>
        <v>0.37664311076754953</v>
      </c>
      <c r="G17" s="215">
        <f>D17/C17</f>
        <v>0.28323015811844504</v>
      </c>
      <c r="H17" s="123"/>
    </row>
    <row r="18" spans="1:8" ht="15.75" x14ac:dyDescent="0.25">
      <c r="A18" s="19"/>
      <c r="B18" s="131">
        <f>DATE(2021,8,1)</f>
        <v>44409</v>
      </c>
      <c r="C18" s="204">
        <v>2802417</v>
      </c>
      <c r="D18" s="204">
        <v>615974.5</v>
      </c>
      <c r="E18" s="204">
        <v>526001.5</v>
      </c>
      <c r="F18" s="132">
        <f>(+D18-E18)/E18</f>
        <v>0.17105084301090395</v>
      </c>
      <c r="G18" s="215">
        <f>D18/C18</f>
        <v>0.21980115735809483</v>
      </c>
      <c r="H18" s="123"/>
    </row>
    <row r="19" spans="1:8" ht="15.75" x14ac:dyDescent="0.25">
      <c r="A19" s="19"/>
      <c r="B19" s="131">
        <f>DATE(2021,9,1)</f>
        <v>44440</v>
      </c>
      <c r="C19" s="204">
        <v>2513978</v>
      </c>
      <c r="D19" s="204">
        <v>858656</v>
      </c>
      <c r="E19" s="204">
        <v>401819.5</v>
      </c>
      <c r="F19" s="132">
        <f>(+D19-E19)/E19</f>
        <v>1.1369196865756888</v>
      </c>
      <c r="G19" s="215">
        <f>D19/C19</f>
        <v>0.34155271048513552</v>
      </c>
      <c r="H19" s="123"/>
    </row>
    <row r="20" spans="1:8" ht="15.75" x14ac:dyDescent="0.25">
      <c r="A20" s="19"/>
      <c r="B20" s="131">
        <f>DATE(2021,10,1)</f>
        <v>44470</v>
      </c>
      <c r="C20" s="204">
        <v>2807049</v>
      </c>
      <c r="D20" s="204">
        <v>649914</v>
      </c>
      <c r="E20" s="204">
        <v>612154.5</v>
      </c>
      <c r="F20" s="132">
        <f>(+D20-E20)/E20</f>
        <v>6.1682957488673203E-2</v>
      </c>
      <c r="G20" s="215">
        <f>D20/C20</f>
        <v>0.23152926792514131</v>
      </c>
      <c r="H20" s="123"/>
    </row>
    <row r="21" spans="1:8" ht="15.75" x14ac:dyDescent="0.25">
      <c r="A21" s="19"/>
      <c r="B21" s="131">
        <f>DATE(2021,11,1)</f>
        <v>44501</v>
      </c>
      <c r="C21" s="204">
        <v>2435882</v>
      </c>
      <c r="D21" s="204">
        <v>707738</v>
      </c>
      <c r="E21" s="204">
        <v>534831.5</v>
      </c>
      <c r="F21" s="132">
        <f>(+D21-E21)/E21</f>
        <v>0.32329154135461358</v>
      </c>
      <c r="G21" s="215">
        <f>D21/C21</f>
        <v>0.29054691483413403</v>
      </c>
      <c r="H21" s="123"/>
    </row>
    <row r="22" spans="1:8" ht="15.75" thickBot="1" x14ac:dyDescent="0.25">
      <c r="A22" s="133"/>
      <c r="B22" s="131"/>
      <c r="C22" s="204"/>
      <c r="D22" s="204"/>
      <c r="E22" s="204"/>
      <c r="F22" s="132"/>
      <c r="G22" s="215"/>
      <c r="H22" s="123"/>
    </row>
    <row r="23" spans="1:8" ht="17.25" thickTop="1" thickBot="1" x14ac:dyDescent="0.3">
      <c r="A23" s="135" t="s">
        <v>14</v>
      </c>
      <c r="B23" s="136"/>
      <c r="C23" s="201">
        <f>SUM(C17:C22)</f>
        <v>13219041</v>
      </c>
      <c r="D23" s="201">
        <f>SUM(D17:D22)</f>
        <v>3585594</v>
      </c>
      <c r="E23" s="201">
        <f>SUM(E17:E22)</f>
        <v>2622016</v>
      </c>
      <c r="F23" s="137">
        <f>(+D23-E23)/E23</f>
        <v>0.36749508774927386</v>
      </c>
      <c r="G23" s="212">
        <f>D23/C23</f>
        <v>0.27124463869958493</v>
      </c>
      <c r="H23" s="123"/>
    </row>
    <row r="24" spans="1:8" ht="15.75" customHeight="1" thickTop="1" x14ac:dyDescent="0.25">
      <c r="A24" s="255"/>
      <c r="B24" s="139"/>
      <c r="C24" s="205"/>
      <c r="D24" s="205"/>
      <c r="E24" s="205"/>
      <c r="F24" s="140"/>
      <c r="G24" s="219"/>
      <c r="H24" s="123"/>
    </row>
    <row r="25" spans="1:8" ht="15.75" x14ac:dyDescent="0.25">
      <c r="A25" s="19" t="s">
        <v>64</v>
      </c>
      <c r="B25" s="131">
        <f>DATE(2021,7,1)</f>
        <v>44378</v>
      </c>
      <c r="C25" s="204">
        <v>1594658</v>
      </c>
      <c r="D25" s="204">
        <v>420154</v>
      </c>
      <c r="E25" s="204">
        <v>362069</v>
      </c>
      <c r="F25" s="132">
        <f>(+D25-E25)/E25</f>
        <v>0.16042522281664545</v>
      </c>
      <c r="G25" s="215">
        <f>D25/C25</f>
        <v>0.26347593026216282</v>
      </c>
      <c r="H25" s="123"/>
    </row>
    <row r="26" spans="1:8" ht="15.75" x14ac:dyDescent="0.25">
      <c r="A26" s="19"/>
      <c r="B26" s="131">
        <f>DATE(2021,8,1)</f>
        <v>44409</v>
      </c>
      <c r="C26" s="204">
        <v>1384308</v>
      </c>
      <c r="D26" s="204">
        <v>283741.5</v>
      </c>
      <c r="E26" s="204">
        <v>264520</v>
      </c>
      <c r="F26" s="132">
        <f>(+D26-E26)/E26</f>
        <v>7.2665582942688642E-2</v>
      </c>
      <c r="G26" s="215">
        <f>D26/C26</f>
        <v>0.20496991998890421</v>
      </c>
      <c r="H26" s="123"/>
    </row>
    <row r="27" spans="1:8" ht="15.75" x14ac:dyDescent="0.25">
      <c r="A27" s="19"/>
      <c r="B27" s="131">
        <f>DATE(2021,9,1)</f>
        <v>44440</v>
      </c>
      <c r="C27" s="204">
        <v>1364005</v>
      </c>
      <c r="D27" s="204">
        <v>271461</v>
      </c>
      <c r="E27" s="204">
        <v>282126.5</v>
      </c>
      <c r="F27" s="132">
        <f>(+D27-E27)/E27</f>
        <v>-3.780396382473819E-2</v>
      </c>
      <c r="G27" s="215">
        <f>D27/C27</f>
        <v>0.1990175989090949</v>
      </c>
      <c r="H27" s="123"/>
    </row>
    <row r="28" spans="1:8" ht="15.75" x14ac:dyDescent="0.25">
      <c r="A28" s="19"/>
      <c r="B28" s="131">
        <f>DATE(2021,10,1)</f>
        <v>44470</v>
      </c>
      <c r="C28" s="204">
        <v>1507535</v>
      </c>
      <c r="D28" s="204">
        <v>344180</v>
      </c>
      <c r="E28" s="204">
        <v>409251</v>
      </c>
      <c r="F28" s="132">
        <f>(+D28-E28)/E28</f>
        <v>-0.15900022235742858</v>
      </c>
      <c r="G28" s="215">
        <f>D28/C28</f>
        <v>0.22830647381321165</v>
      </c>
      <c r="H28" s="123"/>
    </row>
    <row r="29" spans="1:8" ht="15.75" x14ac:dyDescent="0.25">
      <c r="A29" s="19"/>
      <c r="B29" s="131">
        <f>DATE(2021,11,1)</f>
        <v>44501</v>
      </c>
      <c r="C29" s="204">
        <v>1413355</v>
      </c>
      <c r="D29" s="204">
        <v>349298.5</v>
      </c>
      <c r="E29" s="204">
        <v>302858</v>
      </c>
      <c r="F29" s="132">
        <f>(+D29-E29)/E29</f>
        <v>0.15334083960139736</v>
      </c>
      <c r="G29" s="215">
        <f>D29/C29</f>
        <v>0.24714137637040942</v>
      </c>
      <c r="H29" s="123"/>
    </row>
    <row r="30" spans="1:8" ht="15.75" thickBot="1" x14ac:dyDescent="0.25">
      <c r="A30" s="133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41" t="s">
        <v>14</v>
      </c>
      <c r="B31" s="142"/>
      <c r="C31" s="206">
        <f>SUM(C25:C30)</f>
        <v>7263861</v>
      </c>
      <c r="D31" s="206">
        <f>SUM(D25:D30)</f>
        <v>1668835</v>
      </c>
      <c r="E31" s="206">
        <f>SUM(E25:E30)</f>
        <v>1620824.5</v>
      </c>
      <c r="F31" s="143">
        <f>(+D31-E31)/E31</f>
        <v>2.9621035466825679E-2</v>
      </c>
      <c r="G31" s="217">
        <f>D31/C31</f>
        <v>0.22974489737620254</v>
      </c>
      <c r="H31" s="123"/>
    </row>
    <row r="32" spans="1:8" ht="15.75" thickTop="1" x14ac:dyDescent="0.2">
      <c r="A32" s="133"/>
      <c r="B32" s="134"/>
      <c r="C32" s="204"/>
      <c r="D32" s="204"/>
      <c r="E32" s="204"/>
      <c r="F32" s="132"/>
      <c r="G32" s="218"/>
      <c r="H32" s="123"/>
    </row>
    <row r="33" spans="1:8" ht="15.75" x14ac:dyDescent="0.25">
      <c r="A33" s="177" t="s">
        <v>59</v>
      </c>
      <c r="B33" s="131">
        <f>DATE(2021,7,1)</f>
        <v>44378</v>
      </c>
      <c r="C33" s="204">
        <v>13087616</v>
      </c>
      <c r="D33" s="204">
        <v>2503983</v>
      </c>
      <c r="E33" s="204">
        <v>1708169.06</v>
      </c>
      <c r="F33" s="132">
        <f>(+D33-E33)/E33</f>
        <v>0.4658871060455807</v>
      </c>
      <c r="G33" s="215">
        <f>D33/C33</f>
        <v>0.19132460793470712</v>
      </c>
      <c r="H33" s="123"/>
    </row>
    <row r="34" spans="1:8" ht="15.75" x14ac:dyDescent="0.25">
      <c r="A34" s="177"/>
      <c r="B34" s="131">
        <f>DATE(2021,8,1)</f>
        <v>44409</v>
      </c>
      <c r="C34" s="204">
        <v>12295504</v>
      </c>
      <c r="D34" s="204">
        <v>2387806</v>
      </c>
      <c r="E34" s="204">
        <v>2028826.5</v>
      </c>
      <c r="F34" s="132">
        <f>(+D34-E34)/E34</f>
        <v>0.1769394770819486</v>
      </c>
      <c r="G34" s="215">
        <f>D34/C34</f>
        <v>0.1942015553002138</v>
      </c>
      <c r="H34" s="123"/>
    </row>
    <row r="35" spans="1:8" ht="15.75" x14ac:dyDescent="0.25">
      <c r="A35" s="177"/>
      <c r="B35" s="131">
        <f>DATE(2021,9,1)</f>
        <v>44440</v>
      </c>
      <c r="C35" s="204">
        <v>13803172</v>
      </c>
      <c r="D35" s="204">
        <v>2689723.5</v>
      </c>
      <c r="E35" s="204">
        <v>2149169</v>
      </c>
      <c r="F35" s="132">
        <f>(+D35-E35)/E35</f>
        <v>0.25151791227213866</v>
      </c>
      <c r="G35" s="215">
        <f>D35/C35</f>
        <v>0.19486270981771436</v>
      </c>
      <c r="H35" s="123"/>
    </row>
    <row r="36" spans="1:8" ht="15.75" x14ac:dyDescent="0.25">
      <c r="A36" s="177"/>
      <c r="B36" s="131">
        <f>DATE(2021,10,1)</f>
        <v>44470</v>
      </c>
      <c r="C36" s="204">
        <v>13466637</v>
      </c>
      <c r="D36" s="204">
        <v>2470116.0299999998</v>
      </c>
      <c r="E36" s="204">
        <v>2042559.98</v>
      </c>
      <c r="F36" s="132">
        <f>(+D36-E36)/E36</f>
        <v>0.20932362045005887</v>
      </c>
      <c r="G36" s="215">
        <f>D36/C36</f>
        <v>0.18342486175278949</v>
      </c>
      <c r="H36" s="123"/>
    </row>
    <row r="37" spans="1:8" ht="15.75" x14ac:dyDescent="0.25">
      <c r="A37" s="177"/>
      <c r="B37" s="131">
        <f>DATE(2021,11,1)</f>
        <v>44501</v>
      </c>
      <c r="C37" s="204">
        <v>13753377</v>
      </c>
      <c r="D37" s="204">
        <v>3414579.43</v>
      </c>
      <c r="E37" s="204">
        <v>2060677.45</v>
      </c>
      <c r="F37" s="132">
        <f>(+D37-E37)/E37</f>
        <v>0.6570179044760257</v>
      </c>
      <c r="G37" s="215">
        <f>D37/C37</f>
        <v>0.24827207383321204</v>
      </c>
      <c r="H37" s="123"/>
    </row>
    <row r="38" spans="1:8" ht="15.75" customHeight="1" thickBot="1" x14ac:dyDescent="0.25">
      <c r="A38" s="133"/>
      <c r="B38" s="134"/>
      <c r="C38" s="204"/>
      <c r="D38" s="204"/>
      <c r="E38" s="204"/>
      <c r="F38" s="132"/>
      <c r="G38" s="215"/>
      <c r="H38" s="123"/>
    </row>
    <row r="39" spans="1:8" ht="17.25" customHeight="1" thickTop="1" thickBot="1" x14ac:dyDescent="0.3">
      <c r="A39" s="141" t="s">
        <v>14</v>
      </c>
      <c r="B39" s="142"/>
      <c r="C39" s="206">
        <f>SUM(C33:C38)</f>
        <v>66406306</v>
      </c>
      <c r="D39" s="206">
        <f>SUM(D33:D38)</f>
        <v>13466207.959999999</v>
      </c>
      <c r="E39" s="206">
        <f>SUM(E33:E38)</f>
        <v>9989401.9900000002</v>
      </c>
      <c r="F39" s="143">
        <f>(+D39-E39)/E39</f>
        <v>0.34804946016593319</v>
      </c>
      <c r="G39" s="217">
        <f>D39/C39</f>
        <v>0.20278507827253633</v>
      </c>
      <c r="H39" s="123"/>
    </row>
    <row r="40" spans="1:8" ht="15.75" customHeight="1" thickTop="1" x14ac:dyDescent="0.2">
      <c r="A40" s="133"/>
      <c r="B40" s="134"/>
      <c r="C40" s="204"/>
      <c r="D40" s="204"/>
      <c r="E40" s="204"/>
      <c r="F40" s="132"/>
      <c r="G40" s="218"/>
      <c r="H40" s="123"/>
    </row>
    <row r="41" spans="1:8" ht="15" customHeight="1" x14ac:dyDescent="0.25">
      <c r="A41" s="130" t="s">
        <v>62</v>
      </c>
      <c r="B41" s="131">
        <f>DATE(2021,7,1)</f>
        <v>44378</v>
      </c>
      <c r="C41" s="204">
        <v>14071705.5</v>
      </c>
      <c r="D41" s="204">
        <v>3475895.5</v>
      </c>
      <c r="E41" s="204">
        <v>2410424.5</v>
      </c>
      <c r="F41" s="132">
        <f>(+D41-E41)/E41</f>
        <v>0.44202629038992924</v>
      </c>
      <c r="G41" s="215">
        <f>D41/C41</f>
        <v>0.2470130930468947</v>
      </c>
      <c r="H41" s="123"/>
    </row>
    <row r="42" spans="1:8" ht="15" customHeight="1" x14ac:dyDescent="0.25">
      <c r="A42" s="130"/>
      <c r="B42" s="131">
        <f>DATE(2021,8,1)</f>
        <v>44409</v>
      </c>
      <c r="C42" s="204">
        <v>13718026</v>
      </c>
      <c r="D42" s="204">
        <v>1742952</v>
      </c>
      <c r="E42" s="204">
        <v>3089213</v>
      </c>
      <c r="F42" s="132">
        <f>(+D42-E42)/E42</f>
        <v>-0.43579416505109875</v>
      </c>
      <c r="G42" s="215">
        <f>D42/C42</f>
        <v>0.1270555982325737</v>
      </c>
      <c r="H42" s="123"/>
    </row>
    <row r="43" spans="1:8" ht="15" customHeight="1" x14ac:dyDescent="0.25">
      <c r="A43" s="130"/>
      <c r="B43" s="131">
        <f>DATE(2021,9,1)</f>
        <v>44440</v>
      </c>
      <c r="C43" s="204">
        <v>12923567</v>
      </c>
      <c r="D43" s="204">
        <v>3305560.5</v>
      </c>
      <c r="E43" s="204">
        <v>3482637.89</v>
      </c>
      <c r="F43" s="132">
        <f>(+D43-E43)/E43</f>
        <v>-5.0845765650358823E-2</v>
      </c>
      <c r="G43" s="215">
        <f>D43/C43</f>
        <v>0.25577771988182518</v>
      </c>
      <c r="H43" s="123"/>
    </row>
    <row r="44" spans="1:8" ht="15" customHeight="1" x14ac:dyDescent="0.25">
      <c r="A44" s="130"/>
      <c r="B44" s="131">
        <f>DATE(2021,10,1)</f>
        <v>44470</v>
      </c>
      <c r="C44" s="204">
        <v>12696171.5</v>
      </c>
      <c r="D44" s="204">
        <v>3513957.5</v>
      </c>
      <c r="E44" s="204">
        <v>3513244</v>
      </c>
      <c r="F44" s="132">
        <f>(+D44-E44)/E44</f>
        <v>2.0308865538516539E-4</v>
      </c>
      <c r="G44" s="215">
        <f>D44/C44</f>
        <v>0.27677300200300542</v>
      </c>
      <c r="H44" s="123"/>
    </row>
    <row r="45" spans="1:8" ht="15" customHeight="1" x14ac:dyDescent="0.25">
      <c r="A45" s="130"/>
      <c r="B45" s="131">
        <f>DATE(2021,11,1)</f>
        <v>44501</v>
      </c>
      <c r="C45" s="204">
        <v>13220454</v>
      </c>
      <c r="D45" s="204">
        <v>3943943</v>
      </c>
      <c r="E45" s="204">
        <v>2437183.5</v>
      </c>
      <c r="F45" s="132">
        <f>(+D45-E45)/E45</f>
        <v>0.61823801941872658</v>
      </c>
      <c r="G45" s="215">
        <f>D45/C45</f>
        <v>0.2983212981944493</v>
      </c>
      <c r="H45" s="123"/>
    </row>
    <row r="46" spans="1:8" ht="15.75" thickBot="1" x14ac:dyDescent="0.25">
      <c r="A46" s="133"/>
      <c r="B46" s="131"/>
      <c r="C46" s="204"/>
      <c r="D46" s="204"/>
      <c r="E46" s="204"/>
      <c r="F46" s="132"/>
      <c r="G46" s="215"/>
      <c r="H46" s="123"/>
    </row>
    <row r="47" spans="1:8" ht="17.25" customHeight="1" thickTop="1" thickBot="1" x14ac:dyDescent="0.3">
      <c r="A47" s="141" t="s">
        <v>14</v>
      </c>
      <c r="B47" s="142"/>
      <c r="C47" s="207">
        <f>SUM(C41:C46)</f>
        <v>66629924</v>
      </c>
      <c r="D47" s="261">
        <f>SUM(D41:D46)</f>
        <v>15982308.5</v>
      </c>
      <c r="E47" s="206">
        <f>SUM(E41:E46)</f>
        <v>14932702.890000001</v>
      </c>
      <c r="F47" s="268">
        <f>(+D47-E47)/E47</f>
        <v>7.0289057361670931E-2</v>
      </c>
      <c r="G47" s="267">
        <f>D47/C47</f>
        <v>0.23986682770342047</v>
      </c>
      <c r="H47" s="123"/>
    </row>
    <row r="48" spans="1:8" ht="15.75" customHeight="1" thickTop="1" x14ac:dyDescent="0.25">
      <c r="A48" s="130"/>
      <c r="B48" s="134"/>
      <c r="C48" s="204"/>
      <c r="D48" s="204"/>
      <c r="E48" s="204"/>
      <c r="F48" s="132"/>
      <c r="G48" s="218"/>
      <c r="H48" s="123"/>
    </row>
    <row r="49" spans="1:8" ht="15.75" x14ac:dyDescent="0.25">
      <c r="A49" s="130" t="s">
        <v>66</v>
      </c>
      <c r="B49" s="131">
        <f>DATE(2021,7,1)</f>
        <v>44378</v>
      </c>
      <c r="C49" s="204">
        <v>3514368</v>
      </c>
      <c r="D49" s="204">
        <v>729030</v>
      </c>
      <c r="E49" s="204">
        <v>572750</v>
      </c>
      <c r="F49" s="132">
        <f>(+D49-E49)/E49</f>
        <v>0.27285901353120906</v>
      </c>
      <c r="G49" s="215">
        <f>D49/C49</f>
        <v>0.2074427037805944</v>
      </c>
      <c r="H49" s="123"/>
    </row>
    <row r="50" spans="1:8" ht="15.75" x14ac:dyDescent="0.25">
      <c r="A50" s="130"/>
      <c r="B50" s="131">
        <f>DATE(2021,8,1)</f>
        <v>44409</v>
      </c>
      <c r="C50" s="204">
        <v>2699849</v>
      </c>
      <c r="D50" s="204">
        <v>844084.5</v>
      </c>
      <c r="E50" s="204">
        <v>629353.5</v>
      </c>
      <c r="F50" s="132">
        <f>(+D50-E50)/E50</f>
        <v>0.34119298613577265</v>
      </c>
      <c r="G50" s="215">
        <f>D50/C50</f>
        <v>0.31264137364719286</v>
      </c>
      <c r="H50" s="123"/>
    </row>
    <row r="51" spans="1:8" ht="15.75" x14ac:dyDescent="0.25">
      <c r="A51" s="130"/>
      <c r="B51" s="131">
        <f>DATE(2021,9,1)</f>
        <v>44440</v>
      </c>
      <c r="C51" s="204">
        <v>2582290</v>
      </c>
      <c r="D51" s="204">
        <v>707619</v>
      </c>
      <c r="E51" s="204">
        <v>564621.5</v>
      </c>
      <c r="F51" s="132">
        <f>(+D51-E51)/E51</f>
        <v>0.2532625838725589</v>
      </c>
      <c r="G51" s="215">
        <f>D51/C51</f>
        <v>0.27402770409210431</v>
      </c>
      <c r="H51" s="123"/>
    </row>
    <row r="52" spans="1:8" ht="15.75" x14ac:dyDescent="0.25">
      <c r="A52" s="130"/>
      <c r="B52" s="131">
        <f>DATE(2021,10,1)</f>
        <v>44470</v>
      </c>
      <c r="C52" s="204">
        <v>2647781</v>
      </c>
      <c r="D52" s="204">
        <v>435392</v>
      </c>
      <c r="E52" s="204">
        <v>553335.5</v>
      </c>
      <c r="F52" s="132">
        <f>(+D52-E52)/E52</f>
        <v>-0.21315006899069372</v>
      </c>
      <c r="G52" s="215">
        <f>D52/C52</f>
        <v>0.16443656027443357</v>
      </c>
      <c r="H52" s="123"/>
    </row>
    <row r="53" spans="1:8" ht="15.75" x14ac:dyDescent="0.25">
      <c r="A53" s="130"/>
      <c r="B53" s="131">
        <f>DATE(2021,11,1)</f>
        <v>44501</v>
      </c>
      <c r="C53" s="204">
        <v>2909471</v>
      </c>
      <c r="D53" s="204">
        <v>706210</v>
      </c>
      <c r="E53" s="204">
        <v>402553.5</v>
      </c>
      <c r="F53" s="132">
        <f>(+D53-E53)/E53</f>
        <v>0.75432582253042146</v>
      </c>
      <c r="G53" s="215">
        <f>D53/C53</f>
        <v>0.24272797357320283</v>
      </c>
      <c r="H53" s="123"/>
    </row>
    <row r="54" spans="1:8" ht="15.75" customHeight="1" thickBot="1" x14ac:dyDescent="0.3">
      <c r="A54" s="130"/>
      <c r="B54" s="131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7">
        <f>SUM(C49:C54)</f>
        <v>14353759</v>
      </c>
      <c r="D55" s="261">
        <f>SUM(D49:D54)</f>
        <v>3422335.5</v>
      </c>
      <c r="E55" s="207">
        <f>SUM(E49:E54)</f>
        <v>2722614</v>
      </c>
      <c r="F55" s="268">
        <f>(+D55-E55)/E55</f>
        <v>0.25700356348714876</v>
      </c>
      <c r="G55" s="267">
        <f>D55/C55</f>
        <v>0.23842782228683093</v>
      </c>
      <c r="H55" s="123"/>
    </row>
    <row r="56" spans="1:8" ht="15.75" customHeight="1" thickTop="1" x14ac:dyDescent="0.25">
      <c r="A56" s="130"/>
      <c r="B56" s="134"/>
      <c r="C56" s="204"/>
      <c r="D56" s="204"/>
      <c r="E56" s="204"/>
      <c r="F56" s="132"/>
      <c r="G56" s="218"/>
      <c r="H56" s="123"/>
    </row>
    <row r="57" spans="1:8" ht="15.75" x14ac:dyDescent="0.25">
      <c r="A57" s="130" t="s">
        <v>70</v>
      </c>
      <c r="B57" s="131">
        <f>DATE(2021,7,1)</f>
        <v>44378</v>
      </c>
      <c r="C57" s="204">
        <v>6154700</v>
      </c>
      <c r="D57" s="204">
        <v>1067621</v>
      </c>
      <c r="E57" s="204">
        <v>248731.5</v>
      </c>
      <c r="F57" s="132">
        <f>(+D57-E57)/E57</f>
        <v>3.2922629421685632</v>
      </c>
      <c r="G57" s="215">
        <f>D57/C57</f>
        <v>0.17346434432222529</v>
      </c>
      <c r="H57" s="123"/>
    </row>
    <row r="58" spans="1:8" ht="15.75" x14ac:dyDescent="0.25">
      <c r="A58" s="130"/>
      <c r="B58" s="131">
        <f>DATE(2021,8,1)</f>
        <v>44409</v>
      </c>
      <c r="C58" s="204">
        <v>5891930</v>
      </c>
      <c r="D58" s="204">
        <v>666603.5</v>
      </c>
      <c r="E58" s="204">
        <v>268487</v>
      </c>
      <c r="F58" s="132">
        <f>(+D58-E58)/E58</f>
        <v>1.4828148104005037</v>
      </c>
      <c r="G58" s="215">
        <f>D58/C58</f>
        <v>0.11313839438010974</v>
      </c>
      <c r="H58" s="123"/>
    </row>
    <row r="59" spans="1:8" ht="15.75" x14ac:dyDescent="0.25">
      <c r="A59" s="130"/>
      <c r="B59" s="131">
        <f>DATE(2021,9,1)</f>
        <v>44440</v>
      </c>
      <c r="C59" s="204">
        <v>7061445</v>
      </c>
      <c r="D59" s="204">
        <v>1135711.5</v>
      </c>
      <c r="E59" s="204">
        <v>277957.5</v>
      </c>
      <c r="F59" s="132">
        <f>(+D59-E59)/E59</f>
        <v>3.0859178111761691</v>
      </c>
      <c r="G59" s="215">
        <f>D59/C59</f>
        <v>0.16083273324369163</v>
      </c>
      <c r="H59" s="123"/>
    </row>
    <row r="60" spans="1:8" ht="15.75" x14ac:dyDescent="0.25">
      <c r="A60" s="130"/>
      <c r="B60" s="131">
        <f>DATE(2021,10,1)</f>
        <v>44470</v>
      </c>
      <c r="C60" s="204">
        <v>7202787</v>
      </c>
      <c r="D60" s="204">
        <v>1168170.5</v>
      </c>
      <c r="E60" s="204">
        <v>306011.5</v>
      </c>
      <c r="F60" s="132">
        <f>(+D60-E60)/E60</f>
        <v>2.8174071889455137</v>
      </c>
      <c r="G60" s="215">
        <f>D60/C60</f>
        <v>0.16218312439337718</v>
      </c>
      <c r="H60" s="123"/>
    </row>
    <row r="61" spans="1:8" ht="15.75" x14ac:dyDescent="0.25">
      <c r="A61" s="130"/>
      <c r="B61" s="131">
        <f>DATE(2021,11,1)</f>
        <v>44501</v>
      </c>
      <c r="C61" s="204">
        <v>6938331</v>
      </c>
      <c r="D61" s="204">
        <v>1094072</v>
      </c>
      <c r="E61" s="204">
        <v>264033.5</v>
      </c>
      <c r="F61" s="132">
        <f>(+D61-E61)/E61</f>
        <v>3.1436863125323113</v>
      </c>
      <c r="G61" s="215">
        <f>D61/C61</f>
        <v>0.15768518394409262</v>
      </c>
      <c r="H61" s="123"/>
    </row>
    <row r="62" spans="1:8" ht="15.75" customHeight="1" thickBot="1" x14ac:dyDescent="0.3">
      <c r="A62" s="130"/>
      <c r="B62" s="131"/>
      <c r="C62" s="204"/>
      <c r="D62" s="204"/>
      <c r="E62" s="204"/>
      <c r="F62" s="132"/>
      <c r="G62" s="215"/>
      <c r="H62" s="123"/>
    </row>
    <row r="63" spans="1:8" ht="17.25" thickTop="1" thickBot="1" x14ac:dyDescent="0.3">
      <c r="A63" s="141" t="s">
        <v>14</v>
      </c>
      <c r="B63" s="142"/>
      <c r="C63" s="207">
        <f>SUM(C57:C62)</f>
        <v>33249193</v>
      </c>
      <c r="D63" s="261">
        <f>SUM(D57:D62)</f>
        <v>5132178.5</v>
      </c>
      <c r="E63" s="207">
        <f>SUM(E57:E62)</f>
        <v>1365221</v>
      </c>
      <c r="F63" s="269">
        <f>(+D63-E63)/E63</f>
        <v>2.759229091846668</v>
      </c>
      <c r="G63" s="267">
        <f>D63/C63</f>
        <v>0.15435497938250711</v>
      </c>
      <c r="H63" s="123"/>
    </row>
    <row r="64" spans="1:8" ht="15.75" customHeight="1" thickTop="1" x14ac:dyDescent="0.25">
      <c r="A64" s="130"/>
      <c r="B64" s="139"/>
      <c r="C64" s="205"/>
      <c r="D64" s="205"/>
      <c r="E64" s="205"/>
      <c r="F64" s="140"/>
      <c r="G64" s="216"/>
      <c r="H64" s="123"/>
    </row>
    <row r="65" spans="1:8" ht="15.75" x14ac:dyDescent="0.25">
      <c r="A65" s="130" t="s">
        <v>52</v>
      </c>
      <c r="B65" s="131">
        <f>DATE(2021,7,1)</f>
        <v>44378</v>
      </c>
      <c r="C65" s="204">
        <v>6084758</v>
      </c>
      <c r="D65" s="204">
        <v>1287648</v>
      </c>
      <c r="E65" s="204">
        <v>671384</v>
      </c>
      <c r="F65" s="132">
        <f>(+D65-E65)/E65</f>
        <v>0.91790093299810538</v>
      </c>
      <c r="G65" s="215">
        <f>D65/C65</f>
        <v>0.21161860504559096</v>
      </c>
      <c r="H65" s="123"/>
    </row>
    <row r="66" spans="1:8" ht="15.75" x14ac:dyDescent="0.25">
      <c r="A66" s="130"/>
      <c r="B66" s="131">
        <f>DATE(2021,8,1)</f>
        <v>44409</v>
      </c>
      <c r="C66" s="204">
        <v>5252172</v>
      </c>
      <c r="D66" s="204">
        <v>1323019.5</v>
      </c>
      <c r="E66" s="204">
        <v>647438.06000000006</v>
      </c>
      <c r="F66" s="132">
        <f>(+D66-E66)/E66</f>
        <v>1.043468837775771</v>
      </c>
      <c r="G66" s="215">
        <f>D66/C66</f>
        <v>0.25189949986405624</v>
      </c>
      <c r="H66" s="123"/>
    </row>
    <row r="67" spans="1:8" ht="15.75" x14ac:dyDescent="0.25">
      <c r="A67" s="130"/>
      <c r="B67" s="131">
        <f>DATE(2021,9,1)</f>
        <v>44440</v>
      </c>
      <c r="C67" s="204">
        <v>4855923</v>
      </c>
      <c r="D67" s="204">
        <v>858985.36</v>
      </c>
      <c r="E67" s="204">
        <v>476389</v>
      </c>
      <c r="F67" s="132">
        <f>(+D67-E67)/E67</f>
        <v>0.80311753629911686</v>
      </c>
      <c r="G67" s="215">
        <f>D67/C67</f>
        <v>0.17689435355544147</v>
      </c>
      <c r="H67" s="123"/>
    </row>
    <row r="68" spans="1:8" ht="15.75" x14ac:dyDescent="0.25">
      <c r="A68" s="130"/>
      <c r="B68" s="131">
        <f>DATE(2021,10,1)</f>
        <v>44470</v>
      </c>
      <c r="C68" s="204">
        <v>5531948</v>
      </c>
      <c r="D68" s="204">
        <v>980676.58</v>
      </c>
      <c r="E68" s="204">
        <v>822284.63</v>
      </c>
      <c r="F68" s="132">
        <f>(+D68-E68)/E68</f>
        <v>0.19262423766816603</v>
      </c>
      <c r="G68" s="215">
        <f>D68/C68</f>
        <v>0.17727509007676862</v>
      </c>
      <c r="H68" s="123"/>
    </row>
    <row r="69" spans="1:8" ht="15.75" x14ac:dyDescent="0.25">
      <c r="A69" s="130"/>
      <c r="B69" s="131">
        <f>DATE(2021,11,1)</f>
        <v>44501</v>
      </c>
      <c r="C69" s="204">
        <v>4904264</v>
      </c>
      <c r="D69" s="204">
        <v>1337612.57</v>
      </c>
      <c r="E69" s="204">
        <v>587592.5</v>
      </c>
      <c r="F69" s="132">
        <f>(+D69-E69)/E69</f>
        <v>1.2764289367206016</v>
      </c>
      <c r="G69" s="215">
        <f>D69/C69</f>
        <v>0.27274481349291146</v>
      </c>
      <c r="H69" s="123"/>
    </row>
    <row r="70" spans="1:8" ht="15.75" customHeight="1" thickBot="1" x14ac:dyDescent="0.3">
      <c r="A70" s="130"/>
      <c r="B70" s="131"/>
      <c r="C70" s="204"/>
      <c r="D70" s="204"/>
      <c r="E70" s="204"/>
      <c r="F70" s="132"/>
      <c r="G70" s="215"/>
      <c r="H70" s="123"/>
    </row>
    <row r="71" spans="1:8" ht="17.25" thickTop="1" thickBot="1" x14ac:dyDescent="0.3">
      <c r="A71" s="141" t="s">
        <v>14</v>
      </c>
      <c r="B71" s="142"/>
      <c r="C71" s="206">
        <f>SUM(C65:C70)</f>
        <v>26629065</v>
      </c>
      <c r="D71" s="206">
        <f>SUM(D65:D70)</f>
        <v>5787942.0099999998</v>
      </c>
      <c r="E71" s="206">
        <f>SUM(E65:E70)</f>
        <v>3205088.19</v>
      </c>
      <c r="F71" s="143">
        <f>(+D71-E71)/E71</f>
        <v>0.80586045278211205</v>
      </c>
      <c r="G71" s="217">
        <f>D71/C71</f>
        <v>0.21735430853467816</v>
      </c>
      <c r="H71" s="123"/>
    </row>
    <row r="72" spans="1:8" ht="15.75" customHeight="1" thickTop="1" x14ac:dyDescent="0.25">
      <c r="A72" s="138"/>
      <c r="B72" s="139"/>
      <c r="C72" s="205"/>
      <c r="D72" s="205"/>
      <c r="E72" s="205"/>
      <c r="F72" s="140"/>
      <c r="G72" s="216"/>
      <c r="H72" s="123"/>
    </row>
    <row r="73" spans="1:8" ht="15.75" x14ac:dyDescent="0.25">
      <c r="A73" s="130" t="s">
        <v>16</v>
      </c>
      <c r="B73" s="131">
        <f>DATE(2021,7,1)</f>
        <v>44378</v>
      </c>
      <c r="C73" s="204">
        <v>10188404</v>
      </c>
      <c r="D73" s="204">
        <v>1960105</v>
      </c>
      <c r="E73" s="204">
        <v>1702806.5</v>
      </c>
      <c r="F73" s="132">
        <f>(+D73-E73)/E73</f>
        <v>0.15110260619747459</v>
      </c>
      <c r="G73" s="215">
        <f>D73/C73</f>
        <v>0.19238587319466327</v>
      </c>
      <c r="H73" s="123"/>
    </row>
    <row r="74" spans="1:8" ht="15.75" x14ac:dyDescent="0.25">
      <c r="A74" s="130"/>
      <c r="B74" s="131">
        <f>DATE(2021,8,1)</f>
        <v>44409</v>
      </c>
      <c r="C74" s="204">
        <v>8876957</v>
      </c>
      <c r="D74" s="204">
        <v>2276188.5</v>
      </c>
      <c r="E74" s="204">
        <v>1570570.5</v>
      </c>
      <c r="F74" s="132">
        <f>(+D74-E74)/E74</f>
        <v>0.44927496091388447</v>
      </c>
      <c r="G74" s="215">
        <f>D74/C74</f>
        <v>0.25641540226003123</v>
      </c>
      <c r="H74" s="123"/>
    </row>
    <row r="75" spans="1:8" ht="15.75" x14ac:dyDescent="0.25">
      <c r="A75" s="130"/>
      <c r="B75" s="131">
        <f>DATE(2021,9,1)</f>
        <v>44440</v>
      </c>
      <c r="C75" s="204">
        <v>8784096</v>
      </c>
      <c r="D75" s="204">
        <v>937001</v>
      </c>
      <c r="E75" s="204">
        <v>1447626.5</v>
      </c>
      <c r="F75" s="132">
        <f>(+D75-E75)/E75</f>
        <v>-0.35273290451646194</v>
      </c>
      <c r="G75" s="215">
        <f>D75/C75</f>
        <v>0.10667016844988944</v>
      </c>
      <c r="H75" s="123"/>
    </row>
    <row r="76" spans="1:8" ht="15.75" x14ac:dyDescent="0.25">
      <c r="A76" s="130"/>
      <c r="B76" s="131">
        <f>DATE(2021,10,1)</f>
        <v>44470</v>
      </c>
      <c r="C76" s="204">
        <v>9422231</v>
      </c>
      <c r="D76" s="204">
        <v>1775955</v>
      </c>
      <c r="E76" s="204">
        <v>1659455</v>
      </c>
      <c r="F76" s="132">
        <f>(+D76-E76)/E76</f>
        <v>7.0203771720233454E-2</v>
      </c>
      <c r="G76" s="215">
        <f>D76/C76</f>
        <v>0.18848561450042989</v>
      </c>
      <c r="H76" s="123"/>
    </row>
    <row r="77" spans="1:8" ht="15.75" x14ac:dyDescent="0.25">
      <c r="A77" s="130"/>
      <c r="B77" s="131">
        <f>DATE(2021,11,1)</f>
        <v>44501</v>
      </c>
      <c r="C77" s="204">
        <v>10195584</v>
      </c>
      <c r="D77" s="204">
        <v>2249032.5</v>
      </c>
      <c r="E77" s="204">
        <v>1564224</v>
      </c>
      <c r="F77" s="132">
        <f>(+D77-E77)/E77</f>
        <v>0.43779439517613844</v>
      </c>
      <c r="G77" s="215">
        <f>D77/C77</f>
        <v>0.22058888436405408</v>
      </c>
      <c r="H77" s="123"/>
    </row>
    <row r="78" spans="1:8" ht="15.75" customHeight="1" thickBot="1" x14ac:dyDescent="0.3">
      <c r="A78" s="130"/>
      <c r="B78" s="131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6">
        <f>SUM(C73:C78)</f>
        <v>47467272</v>
      </c>
      <c r="D79" s="206">
        <f>SUM(D73:D78)</f>
        <v>9198282</v>
      </c>
      <c r="E79" s="206">
        <f>SUM(E73:E78)</f>
        <v>7944682.5</v>
      </c>
      <c r="F79" s="143">
        <f>(+D79-E79)/E79</f>
        <v>0.15779101304551818</v>
      </c>
      <c r="G79" s="217">
        <f>D79/C79</f>
        <v>0.19378155963966079</v>
      </c>
      <c r="H79" s="123"/>
    </row>
    <row r="80" spans="1:8" ht="15.75" customHeight="1" thickTop="1" x14ac:dyDescent="0.25">
      <c r="A80" s="138"/>
      <c r="B80" s="139"/>
      <c r="C80" s="205"/>
      <c r="D80" s="205"/>
      <c r="E80" s="205"/>
      <c r="F80" s="140"/>
      <c r="G80" s="216"/>
      <c r="H80" s="123"/>
    </row>
    <row r="81" spans="1:8" ht="15.75" x14ac:dyDescent="0.25">
      <c r="A81" s="130" t="s">
        <v>54</v>
      </c>
      <c r="B81" s="131">
        <f>DATE(2021,7,1)</f>
        <v>44378</v>
      </c>
      <c r="C81" s="204">
        <v>12892239.5</v>
      </c>
      <c r="D81" s="204">
        <v>2503594.66</v>
      </c>
      <c r="E81" s="204">
        <v>1922906.33</v>
      </c>
      <c r="F81" s="132">
        <f>(+D81-E81)/E81</f>
        <v>0.30198472018135175</v>
      </c>
      <c r="G81" s="215">
        <f>D81/C81</f>
        <v>0.19419393038734661</v>
      </c>
      <c r="H81" s="123"/>
    </row>
    <row r="82" spans="1:8" ht="15.75" x14ac:dyDescent="0.25">
      <c r="A82" s="130"/>
      <c r="B82" s="131">
        <f>DATE(2021,8,1)</f>
        <v>44409</v>
      </c>
      <c r="C82" s="204">
        <v>12937175</v>
      </c>
      <c r="D82" s="204">
        <v>2041955.48</v>
      </c>
      <c r="E82" s="204">
        <v>2698345.86</v>
      </c>
      <c r="F82" s="132">
        <f>(+D82-E82)/E82</f>
        <v>-0.24325657793919714</v>
      </c>
      <c r="G82" s="215">
        <f>D82/C82</f>
        <v>0.15783627260201705</v>
      </c>
      <c r="H82" s="123"/>
    </row>
    <row r="83" spans="1:8" ht="15.75" x14ac:dyDescent="0.25">
      <c r="A83" s="130"/>
      <c r="B83" s="131">
        <f>DATE(2021,9,1)</f>
        <v>44440</v>
      </c>
      <c r="C83" s="204">
        <v>13265484</v>
      </c>
      <c r="D83" s="204">
        <v>2713567.27</v>
      </c>
      <c r="E83" s="204">
        <v>2773332.44</v>
      </c>
      <c r="F83" s="132">
        <f>(+D83-E83)/E83</f>
        <v>-2.1549948047339007E-2</v>
      </c>
      <c r="G83" s="215">
        <f>D83/C83</f>
        <v>0.20455848199733986</v>
      </c>
      <c r="H83" s="123"/>
    </row>
    <row r="84" spans="1:8" ht="15.75" x14ac:dyDescent="0.25">
      <c r="A84" s="130"/>
      <c r="B84" s="131">
        <f>DATE(2021,10,1)</f>
        <v>44470</v>
      </c>
      <c r="C84" s="204">
        <v>14843224</v>
      </c>
      <c r="D84" s="204">
        <v>2659301.4700000002</v>
      </c>
      <c r="E84" s="204">
        <v>2099358.0099999998</v>
      </c>
      <c r="F84" s="132">
        <f>(+D84-E84)/E84</f>
        <v>0.26672128209328172</v>
      </c>
      <c r="G84" s="215">
        <f>D84/C84</f>
        <v>0.17915928978771728</v>
      </c>
      <c r="H84" s="123"/>
    </row>
    <row r="85" spans="1:8" ht="15.75" x14ac:dyDescent="0.25">
      <c r="A85" s="130"/>
      <c r="B85" s="131">
        <f>DATE(2021,11,1)</f>
        <v>44501</v>
      </c>
      <c r="C85" s="204">
        <v>13840486</v>
      </c>
      <c r="D85" s="204">
        <v>2729199.29</v>
      </c>
      <c r="E85" s="204">
        <v>2138602.36</v>
      </c>
      <c r="F85" s="132">
        <f>(+D85-E85)/E85</f>
        <v>0.27616023485544089</v>
      </c>
      <c r="G85" s="215">
        <f>D85/C85</f>
        <v>0.19718955606038691</v>
      </c>
      <c r="H85" s="123"/>
    </row>
    <row r="86" spans="1:8" ht="15.75" thickBot="1" x14ac:dyDescent="0.25">
      <c r="A86" s="133"/>
      <c r="B86" s="131"/>
      <c r="C86" s="204"/>
      <c r="D86" s="204"/>
      <c r="E86" s="204"/>
      <c r="F86" s="132"/>
      <c r="G86" s="215"/>
      <c r="H86" s="123"/>
    </row>
    <row r="87" spans="1:8" ht="17.25" thickTop="1" thickBot="1" x14ac:dyDescent="0.3">
      <c r="A87" s="141" t="s">
        <v>14</v>
      </c>
      <c r="B87" s="142"/>
      <c r="C87" s="207">
        <f>SUM(C81:C86)</f>
        <v>67778608.5</v>
      </c>
      <c r="D87" s="207">
        <f>SUM(D81:D86)</f>
        <v>12647618.170000002</v>
      </c>
      <c r="E87" s="207">
        <f>SUM(E81:E86)</f>
        <v>11632544.999999998</v>
      </c>
      <c r="F87" s="143">
        <f>(+D87-E87)/E87</f>
        <v>8.7261486630827889E-2</v>
      </c>
      <c r="G87" s="267">
        <f>D87/C87</f>
        <v>0.18660191541111384</v>
      </c>
      <c r="H87" s="123"/>
    </row>
    <row r="88" spans="1:8" ht="15.75" customHeight="1" thickTop="1" x14ac:dyDescent="0.25">
      <c r="A88" s="138"/>
      <c r="B88" s="139"/>
      <c r="C88" s="205"/>
      <c r="D88" s="205"/>
      <c r="E88" s="205"/>
      <c r="F88" s="140"/>
      <c r="G88" s="219"/>
      <c r="H88" s="123"/>
    </row>
    <row r="89" spans="1:8" ht="15.75" x14ac:dyDescent="0.25">
      <c r="A89" s="130" t="s">
        <v>55</v>
      </c>
      <c r="B89" s="131">
        <f>DATE(2021,7,1)</f>
        <v>44378</v>
      </c>
      <c r="C89" s="204">
        <v>371140</v>
      </c>
      <c r="D89" s="204">
        <v>95940.5</v>
      </c>
      <c r="E89" s="204">
        <v>188605.5</v>
      </c>
      <c r="F89" s="132">
        <f>(+D89-E89)/E89</f>
        <v>-0.49131653106616724</v>
      </c>
      <c r="G89" s="215">
        <f>D89/C89</f>
        <v>0.25850218246483808</v>
      </c>
      <c r="H89" s="123"/>
    </row>
    <row r="90" spans="1:8" ht="15.75" x14ac:dyDescent="0.25">
      <c r="A90" s="130"/>
      <c r="B90" s="131">
        <f>DATE(2021,8,1)</f>
        <v>44409</v>
      </c>
      <c r="C90" s="204">
        <v>365006</v>
      </c>
      <c r="D90" s="204">
        <v>109429</v>
      </c>
      <c r="E90" s="204">
        <v>111546</v>
      </c>
      <c r="F90" s="132">
        <f>(+D90-E90)/E90</f>
        <v>-1.8978717300485899E-2</v>
      </c>
      <c r="G90" s="215">
        <f>D90/C90</f>
        <v>0.29980055122381549</v>
      </c>
      <c r="H90" s="123"/>
    </row>
    <row r="91" spans="1:8" ht="15.75" x14ac:dyDescent="0.25">
      <c r="A91" s="130"/>
      <c r="B91" s="131">
        <f>DATE(2021,9,1)</f>
        <v>44440</v>
      </c>
      <c r="C91" s="204">
        <v>306911</v>
      </c>
      <c r="D91" s="204">
        <v>101758.5</v>
      </c>
      <c r="E91" s="204">
        <v>108554</v>
      </c>
      <c r="F91" s="132">
        <f>(+D91-E91)/E91</f>
        <v>-6.2600180555299673E-2</v>
      </c>
      <c r="G91" s="215">
        <f>D91/C91</f>
        <v>0.33155703119145291</v>
      </c>
      <c r="H91" s="123"/>
    </row>
    <row r="92" spans="1:8" ht="15.75" x14ac:dyDescent="0.25">
      <c r="A92" s="130"/>
      <c r="B92" s="131">
        <f>DATE(2021,10,1)</f>
        <v>44470</v>
      </c>
      <c r="C92" s="204">
        <v>384507</v>
      </c>
      <c r="D92" s="204">
        <v>79721.5</v>
      </c>
      <c r="E92" s="204">
        <v>95084.5</v>
      </c>
      <c r="F92" s="132">
        <f>(+D92-E92)/E92</f>
        <v>-0.16157207536454418</v>
      </c>
      <c r="G92" s="215">
        <f>D92/C92</f>
        <v>0.207334326813296</v>
      </c>
      <c r="H92" s="123"/>
    </row>
    <row r="93" spans="1:8" ht="15.75" x14ac:dyDescent="0.25">
      <c r="A93" s="130"/>
      <c r="B93" s="131">
        <f>DATE(2021,11,1)</f>
        <v>44501</v>
      </c>
      <c r="C93" s="204">
        <v>305940</v>
      </c>
      <c r="D93" s="204">
        <v>65199</v>
      </c>
      <c r="E93" s="204">
        <v>102680.5</v>
      </c>
      <c r="F93" s="132">
        <f>(+D93-E93)/E93</f>
        <v>-0.3650303611688685</v>
      </c>
      <c r="G93" s="215">
        <f>D93/C93</f>
        <v>0.21311041380662876</v>
      </c>
      <c r="H93" s="123"/>
    </row>
    <row r="94" spans="1:8" ht="15.75" thickBot="1" x14ac:dyDescent="0.25">
      <c r="A94" s="133"/>
      <c r="B94" s="134"/>
      <c r="C94" s="204"/>
      <c r="D94" s="204"/>
      <c r="E94" s="204"/>
      <c r="F94" s="132"/>
      <c r="G94" s="215"/>
      <c r="H94" s="123"/>
    </row>
    <row r="95" spans="1:8" ht="17.25" thickTop="1" thickBot="1" x14ac:dyDescent="0.3">
      <c r="A95" s="144" t="s">
        <v>14</v>
      </c>
      <c r="B95" s="145"/>
      <c r="C95" s="207">
        <f>SUM(C89:C94)</f>
        <v>1733504</v>
      </c>
      <c r="D95" s="207">
        <f>SUM(D89:D94)</f>
        <v>452048.5</v>
      </c>
      <c r="E95" s="207">
        <f>SUM(E89:E94)</f>
        <v>606470.5</v>
      </c>
      <c r="F95" s="143">
        <f>(+D95-E95)/E95</f>
        <v>-0.25462409136141001</v>
      </c>
      <c r="G95" s="217">
        <f>D95/C95</f>
        <v>0.26077153557188215</v>
      </c>
      <c r="H95" s="123"/>
    </row>
    <row r="96" spans="1:8" ht="15.75" customHeight="1" thickTop="1" x14ac:dyDescent="0.25">
      <c r="A96" s="130"/>
      <c r="B96" s="134"/>
      <c r="C96" s="204"/>
      <c r="D96" s="204"/>
      <c r="E96" s="204"/>
      <c r="F96" s="132"/>
      <c r="G96" s="218"/>
      <c r="H96" s="123"/>
    </row>
    <row r="97" spans="1:8" ht="15.75" x14ac:dyDescent="0.25">
      <c r="A97" s="130" t="s">
        <v>37</v>
      </c>
      <c r="B97" s="131">
        <f>DATE(2021,7,1)</f>
        <v>44378</v>
      </c>
      <c r="C97" s="204">
        <v>21135748</v>
      </c>
      <c r="D97" s="204">
        <v>4828759.4400000004</v>
      </c>
      <c r="E97" s="204">
        <v>4944391.55</v>
      </c>
      <c r="F97" s="132">
        <f>(+D97-E97)/E97</f>
        <v>-2.33865196214081E-2</v>
      </c>
      <c r="G97" s="215">
        <f>D97/C97</f>
        <v>0.22846409031750381</v>
      </c>
      <c r="H97" s="123"/>
    </row>
    <row r="98" spans="1:8" ht="15.75" x14ac:dyDescent="0.25">
      <c r="A98" s="130"/>
      <c r="B98" s="131">
        <f>DATE(2021,8,1)</f>
        <v>44409</v>
      </c>
      <c r="C98" s="204">
        <v>21125231</v>
      </c>
      <c r="D98" s="204">
        <v>4617763.22</v>
      </c>
      <c r="E98" s="204">
        <v>3489579.3</v>
      </c>
      <c r="F98" s="132">
        <f>(+D98-E98)/E98</f>
        <v>0.32330084030473244</v>
      </c>
      <c r="G98" s="215">
        <f>D98/C98</f>
        <v>0.21858995151342958</v>
      </c>
      <c r="H98" s="123"/>
    </row>
    <row r="99" spans="1:8" ht="15.75" x14ac:dyDescent="0.25">
      <c r="A99" s="130"/>
      <c r="B99" s="131">
        <f>DATE(2021,9,1)</f>
        <v>44440</v>
      </c>
      <c r="C99" s="204">
        <v>19406042</v>
      </c>
      <c r="D99" s="204">
        <v>4146063.59</v>
      </c>
      <c r="E99" s="204">
        <v>3694673.89</v>
      </c>
      <c r="F99" s="132">
        <f>(+D99-E99)/E99</f>
        <v>0.12217308304847432</v>
      </c>
      <c r="G99" s="215">
        <f>D99/C99</f>
        <v>0.21364807877876385</v>
      </c>
      <c r="H99" s="123"/>
    </row>
    <row r="100" spans="1:8" ht="15.75" x14ac:dyDescent="0.25">
      <c r="A100" s="130"/>
      <c r="B100" s="131">
        <f>DATE(2021,10,1)</f>
        <v>44470</v>
      </c>
      <c r="C100" s="204">
        <v>22309255.5</v>
      </c>
      <c r="D100" s="204">
        <v>5459139.5700000003</v>
      </c>
      <c r="E100" s="204">
        <v>4159604.05</v>
      </c>
      <c r="F100" s="132">
        <f>(+D100-E100)/E100</f>
        <v>0.31241808219703038</v>
      </c>
      <c r="G100" s="215">
        <f>D100/C100</f>
        <v>0.24470290234472417</v>
      </c>
      <c r="H100" s="123"/>
    </row>
    <row r="101" spans="1:8" ht="15.75" x14ac:dyDescent="0.25">
      <c r="A101" s="130"/>
      <c r="B101" s="131">
        <f>DATE(2021,11,1)</f>
        <v>44501</v>
      </c>
      <c r="C101" s="204">
        <v>22481941</v>
      </c>
      <c r="D101" s="204">
        <v>4253233.6500000004</v>
      </c>
      <c r="E101" s="204">
        <v>3752761.48</v>
      </c>
      <c r="F101" s="132">
        <f>(+D101-E101)/E101</f>
        <v>0.13336103897549076</v>
      </c>
      <c r="G101" s="215">
        <f>D101/C101</f>
        <v>0.18918445031058487</v>
      </c>
      <c r="H101" s="123"/>
    </row>
    <row r="102" spans="1:8" ht="15.75" thickBot="1" x14ac:dyDescent="0.25">
      <c r="A102" s="133"/>
      <c r="B102" s="134"/>
      <c r="C102" s="204"/>
      <c r="D102" s="204"/>
      <c r="E102" s="204"/>
      <c r="F102" s="132"/>
      <c r="G102" s="215"/>
      <c r="H102" s="123"/>
    </row>
    <row r="103" spans="1:8" ht="17.25" thickTop="1" thickBot="1" x14ac:dyDescent="0.3">
      <c r="A103" s="141" t="s">
        <v>14</v>
      </c>
      <c r="B103" s="142"/>
      <c r="C103" s="206">
        <f>SUM(C97:C102)</f>
        <v>106458217.5</v>
      </c>
      <c r="D103" s="207">
        <f>SUM(D97:D102)</f>
        <v>23304959.469999999</v>
      </c>
      <c r="E103" s="206">
        <f>SUM(E97:E102)</f>
        <v>20041010.27</v>
      </c>
      <c r="F103" s="143">
        <f>(+D103-E103)/E103</f>
        <v>0.16286350618191661</v>
      </c>
      <c r="G103" s="217">
        <f>D103/C103</f>
        <v>0.21891179485510359</v>
      </c>
      <c r="H103" s="123"/>
    </row>
    <row r="104" spans="1:8" ht="15.75" customHeight="1" thickTop="1" x14ac:dyDescent="0.25">
      <c r="A104" s="130"/>
      <c r="B104" s="134"/>
      <c r="C104" s="204"/>
      <c r="D104" s="204"/>
      <c r="E104" s="204"/>
      <c r="F104" s="132"/>
      <c r="G104" s="218"/>
      <c r="H104" s="123"/>
    </row>
    <row r="105" spans="1:8" ht="15.75" x14ac:dyDescent="0.25">
      <c r="A105" s="130" t="s">
        <v>58</v>
      </c>
      <c r="B105" s="131">
        <f>DATE(2021,7,1)</f>
        <v>44378</v>
      </c>
      <c r="C105" s="204">
        <v>576838</v>
      </c>
      <c r="D105" s="204">
        <v>127439.5</v>
      </c>
      <c r="E105" s="204">
        <v>155770.5</v>
      </c>
      <c r="F105" s="132">
        <f>(+D105-E105)/E105</f>
        <v>-0.18187654273434314</v>
      </c>
      <c r="G105" s="215">
        <f>D105/C105</f>
        <v>0.22092771280671522</v>
      </c>
      <c r="H105" s="123"/>
    </row>
    <row r="106" spans="1:8" ht="15.75" x14ac:dyDescent="0.25">
      <c r="A106" s="130"/>
      <c r="B106" s="131">
        <f>DATE(2021,8,1)</f>
        <v>44409</v>
      </c>
      <c r="C106" s="204">
        <v>465052</v>
      </c>
      <c r="D106" s="204">
        <v>132624</v>
      </c>
      <c r="E106" s="204">
        <v>187855</v>
      </c>
      <c r="F106" s="132">
        <f>(+D106-E106)/E106</f>
        <v>-0.29400867690505977</v>
      </c>
      <c r="G106" s="215">
        <f>D106/C106</f>
        <v>0.2851810120158606</v>
      </c>
      <c r="H106" s="123"/>
    </row>
    <row r="107" spans="1:8" ht="15.75" x14ac:dyDescent="0.25">
      <c r="A107" s="130"/>
      <c r="B107" s="131">
        <f>DATE(2021,9,1)</f>
        <v>44440</v>
      </c>
      <c r="C107" s="204">
        <v>546162</v>
      </c>
      <c r="D107" s="204">
        <v>116203.5</v>
      </c>
      <c r="E107" s="204">
        <v>175772.5</v>
      </c>
      <c r="F107" s="132">
        <f>(+D107-E107)/E107</f>
        <v>-0.338898291826082</v>
      </c>
      <c r="G107" s="215">
        <f>D107/C107</f>
        <v>0.21276379535742143</v>
      </c>
      <c r="H107" s="123"/>
    </row>
    <row r="108" spans="1:8" ht="15.75" x14ac:dyDescent="0.25">
      <c r="A108" s="130"/>
      <c r="B108" s="131">
        <f>DATE(2021,10,1)</f>
        <v>44470</v>
      </c>
      <c r="C108" s="204">
        <v>611813</v>
      </c>
      <c r="D108" s="204">
        <v>167500.5</v>
      </c>
      <c r="E108" s="204">
        <v>128393</v>
      </c>
      <c r="F108" s="132">
        <f>(+D108-E108)/E108</f>
        <v>0.30459215066241929</v>
      </c>
      <c r="G108" s="215">
        <f>D108/C108</f>
        <v>0.27377728162036441</v>
      </c>
      <c r="H108" s="123"/>
    </row>
    <row r="109" spans="1:8" ht="15.75" x14ac:dyDescent="0.25">
      <c r="A109" s="130"/>
      <c r="B109" s="131">
        <f>DATE(2021,11,1)</f>
        <v>44501</v>
      </c>
      <c r="C109" s="204">
        <v>574384</v>
      </c>
      <c r="D109" s="204">
        <v>144385.5</v>
      </c>
      <c r="E109" s="204">
        <v>162751.5</v>
      </c>
      <c r="F109" s="132">
        <f>(+D109-E109)/E109</f>
        <v>-0.11284688620381379</v>
      </c>
      <c r="G109" s="215">
        <f>D109/C109</f>
        <v>0.2513745160032313</v>
      </c>
      <c r="H109" s="123"/>
    </row>
    <row r="110" spans="1:8" ht="15.75" thickBot="1" x14ac:dyDescent="0.25">
      <c r="A110" s="133"/>
      <c r="B110" s="134"/>
      <c r="C110" s="204"/>
      <c r="D110" s="204"/>
      <c r="E110" s="204"/>
      <c r="F110" s="132"/>
      <c r="G110" s="215"/>
      <c r="H110" s="123"/>
    </row>
    <row r="111" spans="1:8" ht="17.25" thickTop="1" thickBot="1" x14ac:dyDescent="0.3">
      <c r="A111" s="135" t="s">
        <v>14</v>
      </c>
      <c r="B111" s="136"/>
      <c r="C111" s="201">
        <f>SUM(C105:C110)</f>
        <v>2774249</v>
      </c>
      <c r="D111" s="207">
        <f>SUM(D105:D110)</f>
        <v>688153</v>
      </c>
      <c r="E111" s="207">
        <f>SUM(E105:E110)</f>
        <v>810542.5</v>
      </c>
      <c r="F111" s="143">
        <f>(+D111-E111)/E111</f>
        <v>-0.15099701742968444</v>
      </c>
      <c r="G111" s="217">
        <f>D111/C111</f>
        <v>0.24805019304323439</v>
      </c>
      <c r="H111" s="123"/>
    </row>
    <row r="112" spans="1:8" ht="16.5" thickTop="1" thickBot="1" x14ac:dyDescent="0.25">
      <c r="A112" s="146"/>
      <c r="B112" s="139"/>
      <c r="C112" s="205"/>
      <c r="D112" s="205"/>
      <c r="E112" s="205"/>
      <c r="F112" s="140"/>
      <c r="G112" s="216"/>
      <c r="H112" s="123"/>
    </row>
    <row r="113" spans="1:8" ht="17.25" thickTop="1" thickBot="1" x14ac:dyDescent="0.3">
      <c r="A113" s="147" t="s">
        <v>38</v>
      </c>
      <c r="B113" s="121"/>
      <c r="C113" s="201">
        <f>C111+C103+C79+C63+C47+C31+C15+C39+C95+C23+C71+C87+C55</f>
        <v>517089905.56</v>
      </c>
      <c r="D113" s="201">
        <f>D111+D103+D79+D63+D47+D31+D15+D39+D95+D23+D71+D87+D55</f>
        <v>107098141.67</v>
      </c>
      <c r="E113" s="201">
        <f>E111+E103+E79+E63+E47+E31+E15+E39+E95+E23+E71+E87+E55</f>
        <v>85336713.75</v>
      </c>
      <c r="F113" s="137">
        <f>(+D113-E113)/E113</f>
        <v>0.25500663153905434</v>
      </c>
      <c r="G113" s="212">
        <f>D113/C113</f>
        <v>0.20711706130487009</v>
      </c>
      <c r="H113" s="123"/>
    </row>
    <row r="114" spans="1:8" ht="17.25" thickTop="1" thickBot="1" x14ac:dyDescent="0.3">
      <c r="A114" s="147"/>
      <c r="B114" s="121"/>
      <c r="C114" s="201"/>
      <c r="D114" s="201"/>
      <c r="E114" s="201"/>
      <c r="F114" s="137"/>
      <c r="G114" s="212"/>
      <c r="H114" s="123"/>
    </row>
    <row r="115" spans="1:8" ht="17.25" thickTop="1" thickBot="1" x14ac:dyDescent="0.3">
      <c r="A115" s="265" t="s">
        <v>39</v>
      </c>
      <c r="B115" s="266"/>
      <c r="C115" s="206">
        <f>SUM(C13+C21+C29+C37+C45+C53+C61+C69+C77+C85+C93+C101+C109)</f>
        <v>104879396</v>
      </c>
      <c r="D115" s="206">
        <f>SUM(D13+D21+D29+D37+D45+D53+D61+D69+D77+D85+D93+D101+D109)</f>
        <v>23248900.439999998</v>
      </c>
      <c r="E115" s="206">
        <f>SUM(E13+E21+E29+E37+E45+E53+E61+E69+E77+E85+E93+E101+E109)</f>
        <v>15757367.789999999</v>
      </c>
      <c r="F115" s="268">
        <f>(+D115-E115)/E115</f>
        <v>0.47543046210765633</v>
      </c>
      <c r="G115" s="217">
        <f>D115/C115</f>
        <v>0.22167271481998235</v>
      </c>
      <c r="H115" s="123"/>
    </row>
    <row r="116" spans="1:8" ht="16.5" thickTop="1" x14ac:dyDescent="0.25">
      <c r="A116" s="256"/>
      <c r="B116" s="258"/>
      <c r="C116" s="259"/>
      <c r="D116" s="259"/>
      <c r="E116" s="259"/>
      <c r="F116" s="260"/>
      <c r="G116" s="257"/>
      <c r="H116" s="257"/>
    </row>
    <row r="117" spans="1:8" ht="18.75" x14ac:dyDescent="0.3">
      <c r="A117" s="263" t="s">
        <v>40</v>
      </c>
      <c r="B117" s="117"/>
      <c r="C117" s="208"/>
      <c r="D117" s="208"/>
      <c r="E117" s="208"/>
      <c r="F117" s="148"/>
      <c r="G117" s="220"/>
    </row>
    <row r="118" spans="1:8" ht="15.75" x14ac:dyDescent="0.25">
      <c r="A118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47" max="7" man="1"/>
    <brk id="8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view="pageBreakPreview" topLeftCell="A61" zoomScale="60" zoomScaleNormal="100" workbookViewId="0">
      <selection activeCell="C83" sqref="C83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61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67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68</v>
      </c>
      <c r="E8" s="224" t="s">
        <v>68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DATE(21,7,1)</f>
        <v>7853</v>
      </c>
      <c r="C10" s="226">
        <v>0</v>
      </c>
      <c r="D10" s="226">
        <v>0</v>
      </c>
      <c r="E10" s="226">
        <v>0</v>
      </c>
      <c r="F10" s="166">
        <v>0</v>
      </c>
      <c r="G10" s="241">
        <v>0</v>
      </c>
      <c r="H10" s="242">
        <v>0</v>
      </c>
    </row>
    <row r="11" spans="1:8" ht="15.75" x14ac:dyDescent="0.25">
      <c r="A11" s="164"/>
      <c r="B11" s="165">
        <f>DATE(21,8,1)</f>
        <v>7884</v>
      </c>
      <c r="C11" s="226">
        <v>0</v>
      </c>
      <c r="D11" s="226">
        <v>0</v>
      </c>
      <c r="E11" s="226">
        <v>0</v>
      </c>
      <c r="F11" s="166">
        <v>0</v>
      </c>
      <c r="G11" s="241">
        <v>0</v>
      </c>
      <c r="H11" s="242">
        <v>0</v>
      </c>
    </row>
    <row r="12" spans="1:8" ht="15.75" x14ac:dyDescent="0.25">
      <c r="A12" s="164"/>
      <c r="B12" s="165">
        <f>DATE(21,9,1)</f>
        <v>7915</v>
      </c>
      <c r="C12" s="226">
        <v>0</v>
      </c>
      <c r="D12" s="226">
        <v>0</v>
      </c>
      <c r="E12" s="226">
        <v>0</v>
      </c>
      <c r="F12" s="166">
        <v>0</v>
      </c>
      <c r="G12" s="241">
        <v>0</v>
      </c>
      <c r="H12" s="242">
        <v>0</v>
      </c>
    </row>
    <row r="13" spans="1:8" ht="15.75" x14ac:dyDescent="0.25">
      <c r="A13" s="164"/>
      <c r="B13" s="165">
        <f>DATE(21,10,1)</f>
        <v>7945</v>
      </c>
      <c r="C13" s="226">
        <v>0</v>
      </c>
      <c r="D13" s="226">
        <v>0</v>
      </c>
      <c r="E13" s="226">
        <v>0</v>
      </c>
      <c r="F13" s="166">
        <v>0</v>
      </c>
      <c r="G13" s="241">
        <v>0</v>
      </c>
      <c r="H13" s="242">
        <v>0</v>
      </c>
    </row>
    <row r="14" spans="1:8" ht="15.75" x14ac:dyDescent="0.25">
      <c r="A14" s="164"/>
      <c r="B14" s="165">
        <f>DATE(21,11,1)</f>
        <v>7976</v>
      </c>
      <c r="C14" s="226">
        <v>1095526.05</v>
      </c>
      <c r="D14" s="226">
        <v>51101.03</v>
      </c>
      <c r="E14" s="226">
        <v>0</v>
      </c>
      <c r="F14" s="166">
        <v>1</v>
      </c>
      <c r="G14" s="241">
        <f>+D14/C14</f>
        <v>4.6645198441424555E-2</v>
      </c>
      <c r="H14" s="289">
        <f>1-G14</f>
        <v>0.95335480155857544</v>
      </c>
    </row>
    <row r="15" spans="1:8" ht="15.75" thickBot="1" x14ac:dyDescent="0.25">
      <c r="A15" s="167"/>
      <c r="B15" s="168"/>
      <c r="C15" s="226"/>
      <c r="D15" s="226"/>
      <c r="E15" s="226"/>
      <c r="F15" s="166"/>
      <c r="G15" s="241"/>
      <c r="H15" s="242"/>
    </row>
    <row r="16" spans="1:8" ht="17.25" thickTop="1" thickBot="1" x14ac:dyDescent="0.3">
      <c r="A16" s="169" t="s">
        <v>14</v>
      </c>
      <c r="B16" s="155"/>
      <c r="C16" s="223">
        <f>SUM(C10:C15)</f>
        <v>1095526.05</v>
      </c>
      <c r="D16" s="223">
        <f>SUM(D10:D15)</f>
        <v>51101.03</v>
      </c>
      <c r="E16" s="223">
        <f>SUM(E10:E15)</f>
        <v>0</v>
      </c>
      <c r="F16" s="170">
        <v>1</v>
      </c>
      <c r="G16" s="245">
        <f>+D16/C16</f>
        <v>4.6645198441424555E-2</v>
      </c>
      <c r="H16" s="246">
        <f>1-G16</f>
        <v>0.95335480155857544</v>
      </c>
    </row>
    <row r="17" spans="1:8" ht="15.75" thickTop="1" x14ac:dyDescent="0.2">
      <c r="A17" s="171"/>
      <c r="B17" s="172"/>
      <c r="C17" s="227"/>
      <c r="D17" s="227"/>
      <c r="E17" s="227"/>
      <c r="F17" s="173"/>
      <c r="G17" s="243"/>
      <c r="H17" s="244"/>
    </row>
    <row r="18" spans="1:8" ht="15.75" x14ac:dyDescent="0.25">
      <c r="A18" s="19" t="s">
        <v>48</v>
      </c>
      <c r="B18" s="165">
        <f>DATE(21,7,1)</f>
        <v>7853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9"/>
      <c r="B19" s="165">
        <f>DATE(21,8,1)</f>
        <v>7884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9"/>
      <c r="B20" s="165">
        <f>DATE(21,9,1)</f>
        <v>7915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x14ac:dyDescent="0.25">
      <c r="A21" s="19"/>
      <c r="B21" s="165">
        <f>DATE(21,10,1)</f>
        <v>7945</v>
      </c>
      <c r="C21" s="226">
        <v>0</v>
      </c>
      <c r="D21" s="226">
        <v>0</v>
      </c>
      <c r="E21" s="226">
        <v>0</v>
      </c>
      <c r="F21" s="166">
        <v>0</v>
      </c>
      <c r="G21" s="241">
        <v>0</v>
      </c>
      <c r="H21" s="242">
        <v>0</v>
      </c>
    </row>
    <row r="22" spans="1:8" ht="15.75" x14ac:dyDescent="0.25">
      <c r="A22" s="19"/>
      <c r="B22" s="165">
        <f>DATE(21,11,1)</f>
        <v>7976</v>
      </c>
      <c r="C22" s="226">
        <v>0</v>
      </c>
      <c r="D22" s="226">
        <v>0</v>
      </c>
      <c r="E22" s="226">
        <v>0</v>
      </c>
      <c r="F22" s="166">
        <v>0</v>
      </c>
      <c r="G22" s="241">
        <v>0</v>
      </c>
      <c r="H22" s="242">
        <v>0</v>
      </c>
    </row>
    <row r="23" spans="1:8" ht="15.75" thickBot="1" x14ac:dyDescent="0.25">
      <c r="A23" s="167"/>
      <c r="B23" s="165"/>
      <c r="C23" s="226"/>
      <c r="D23" s="226"/>
      <c r="E23" s="226"/>
      <c r="F23" s="166"/>
      <c r="G23" s="241"/>
      <c r="H23" s="242"/>
    </row>
    <row r="24" spans="1:8" ht="17.25" thickTop="1" thickBot="1" x14ac:dyDescent="0.3">
      <c r="A24" s="169" t="s">
        <v>14</v>
      </c>
      <c r="B24" s="155"/>
      <c r="C24" s="223">
        <f>SUM(C18:C23)</f>
        <v>0</v>
      </c>
      <c r="D24" s="223">
        <f>SUM(D18:D23)</f>
        <v>0</v>
      </c>
      <c r="E24" s="223">
        <f>SUM(E18:E23)</f>
        <v>0</v>
      </c>
      <c r="F24" s="170">
        <v>0</v>
      </c>
      <c r="G24" s="236">
        <v>0</v>
      </c>
      <c r="H24" s="237">
        <v>0</v>
      </c>
    </row>
    <row r="25" spans="1:8" ht="15.75" thickTop="1" x14ac:dyDescent="0.2">
      <c r="A25" s="171"/>
      <c r="B25" s="172"/>
      <c r="C25" s="227"/>
      <c r="D25" s="227"/>
      <c r="E25" s="227"/>
      <c r="F25" s="173"/>
      <c r="G25" s="243"/>
      <c r="H25" s="244"/>
    </row>
    <row r="26" spans="1:8" ht="15.75" x14ac:dyDescent="0.25">
      <c r="A26" s="19" t="s">
        <v>64</v>
      </c>
      <c r="B26" s="165">
        <f>DATE(21,7,1)</f>
        <v>7853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DATE(21,8,1)</f>
        <v>7884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DATE(21,9,1)</f>
        <v>7915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DATE(21,10,1)</f>
        <v>7945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DATE(21,11,1)</f>
        <v>7976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thickBot="1" x14ac:dyDescent="0.25">
      <c r="A31" s="167"/>
      <c r="B31" s="165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74" t="s">
        <v>14</v>
      </c>
      <c r="B32" s="175"/>
      <c r="C32" s="228">
        <f>SUM(C26:C31)</f>
        <v>0</v>
      </c>
      <c r="D32" s="228">
        <f>SUM(D26:D31)</f>
        <v>0</v>
      </c>
      <c r="E32" s="228">
        <f>SUM(E26:E31)</f>
        <v>0</v>
      </c>
      <c r="F32" s="176">
        <v>0</v>
      </c>
      <c r="G32" s="245">
        <v>0</v>
      </c>
      <c r="H32" s="246">
        <v>0</v>
      </c>
    </row>
    <row r="33" spans="1:8" ht="15.75" thickTop="1" x14ac:dyDescent="0.2">
      <c r="A33" s="167"/>
      <c r="B33" s="168"/>
      <c r="C33" s="226"/>
      <c r="D33" s="226"/>
      <c r="E33" s="226"/>
      <c r="F33" s="166"/>
      <c r="G33" s="241"/>
      <c r="H33" s="242"/>
    </row>
    <row r="34" spans="1:8" ht="15.75" x14ac:dyDescent="0.25">
      <c r="A34" s="177" t="s">
        <v>59</v>
      </c>
      <c r="B34" s="165">
        <f>DATE(21,7,1)</f>
        <v>7853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x14ac:dyDescent="0.25">
      <c r="A35" s="177"/>
      <c r="B35" s="165">
        <f>DATE(21,8,1)</f>
        <v>7884</v>
      </c>
      <c r="C35" s="226">
        <v>0</v>
      </c>
      <c r="D35" s="226">
        <v>0</v>
      </c>
      <c r="E35" s="226">
        <v>0</v>
      </c>
      <c r="F35" s="166">
        <v>0</v>
      </c>
      <c r="G35" s="241">
        <v>0</v>
      </c>
      <c r="H35" s="242">
        <v>0</v>
      </c>
    </row>
    <row r="36" spans="1:8" ht="15.75" x14ac:dyDescent="0.25">
      <c r="A36" s="177"/>
      <c r="B36" s="165">
        <f>DATE(21,9,1)</f>
        <v>7915</v>
      </c>
      <c r="C36" s="226">
        <v>0</v>
      </c>
      <c r="D36" s="226">
        <v>0</v>
      </c>
      <c r="E36" s="226">
        <v>0</v>
      </c>
      <c r="F36" s="166">
        <v>0</v>
      </c>
      <c r="G36" s="241">
        <v>0</v>
      </c>
      <c r="H36" s="242">
        <v>0</v>
      </c>
    </row>
    <row r="37" spans="1:8" ht="15.75" x14ac:dyDescent="0.25">
      <c r="A37" s="177"/>
      <c r="B37" s="165">
        <f>DATE(21,10,1)</f>
        <v>7945</v>
      </c>
      <c r="C37" s="226">
        <v>0</v>
      </c>
      <c r="D37" s="226">
        <v>0</v>
      </c>
      <c r="E37" s="226">
        <v>0</v>
      </c>
      <c r="F37" s="166">
        <v>0</v>
      </c>
      <c r="G37" s="241">
        <v>0</v>
      </c>
      <c r="H37" s="242">
        <v>0</v>
      </c>
    </row>
    <row r="38" spans="1:8" ht="15.75" x14ac:dyDescent="0.25">
      <c r="A38" s="177"/>
      <c r="B38" s="165">
        <f>DATE(21,11,1)</f>
        <v>7976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thickBot="1" x14ac:dyDescent="0.25">
      <c r="A39" s="167"/>
      <c r="B39" s="168"/>
      <c r="C39" s="226"/>
      <c r="D39" s="226"/>
      <c r="E39" s="226"/>
      <c r="F39" s="166"/>
      <c r="G39" s="241"/>
      <c r="H39" s="242"/>
    </row>
    <row r="40" spans="1:8" ht="17.25" thickTop="1" thickBot="1" x14ac:dyDescent="0.3">
      <c r="A40" s="174" t="s">
        <v>14</v>
      </c>
      <c r="B40" s="178"/>
      <c r="C40" s="228">
        <f>SUM(C34:C39)</f>
        <v>0</v>
      </c>
      <c r="D40" s="228">
        <f>SUM(D34:D39)</f>
        <v>0</v>
      </c>
      <c r="E40" s="228">
        <f>SUM(E34:E39)</f>
        <v>0</v>
      </c>
      <c r="F40" s="176">
        <v>0</v>
      </c>
      <c r="G40" s="245">
        <v>0</v>
      </c>
      <c r="H40" s="246">
        <v>0</v>
      </c>
    </row>
    <row r="41" spans="1:8" ht="15.75" thickTop="1" x14ac:dyDescent="0.2">
      <c r="A41" s="167"/>
      <c r="B41" s="168"/>
      <c r="C41" s="226"/>
      <c r="D41" s="226"/>
      <c r="E41" s="226"/>
      <c r="F41" s="166"/>
      <c r="G41" s="241"/>
      <c r="H41" s="242"/>
    </row>
    <row r="42" spans="1:8" ht="15.75" x14ac:dyDescent="0.25">
      <c r="A42" s="164" t="s">
        <v>62</v>
      </c>
      <c r="B42" s="165">
        <f>DATE(21,7,1)</f>
        <v>7853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64"/>
      <c r="B43" s="165">
        <f>DATE(21,8,1)</f>
        <v>7884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64"/>
      <c r="B44" s="165">
        <f>DATE(21,9,1)</f>
        <v>7915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64"/>
      <c r="B45" s="165">
        <f>DATE(21,10,1)</f>
        <v>7945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64"/>
      <c r="B46" s="165">
        <f>DATE(21,11,1)</f>
        <v>7976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thickBot="1" x14ac:dyDescent="0.25">
      <c r="A47" s="167"/>
      <c r="B47" s="165"/>
      <c r="C47" s="226"/>
      <c r="D47" s="226"/>
      <c r="E47" s="226"/>
      <c r="F47" s="166"/>
      <c r="G47" s="241"/>
      <c r="H47" s="242"/>
    </row>
    <row r="48" spans="1:8" ht="17.25" thickTop="1" thickBot="1" x14ac:dyDescent="0.3">
      <c r="A48" s="174" t="s">
        <v>14</v>
      </c>
      <c r="B48" s="175"/>
      <c r="C48" s="228">
        <f>SUM(C42:C47)</f>
        <v>0</v>
      </c>
      <c r="D48" s="230">
        <f>SUM(D42:D47)</f>
        <v>0</v>
      </c>
      <c r="E48" s="271">
        <f>SUM(E42:E47)</f>
        <v>0</v>
      </c>
      <c r="F48" s="176">
        <v>0</v>
      </c>
      <c r="G48" s="245">
        <v>0</v>
      </c>
      <c r="H48" s="246">
        <v>0</v>
      </c>
    </row>
    <row r="49" spans="1:8" ht="15.75" thickTop="1" x14ac:dyDescent="0.2">
      <c r="A49" s="167"/>
      <c r="B49" s="168"/>
      <c r="C49" s="226"/>
      <c r="D49" s="226"/>
      <c r="E49" s="226"/>
      <c r="F49" s="166"/>
      <c r="G49" s="241"/>
      <c r="H49" s="242"/>
    </row>
    <row r="50" spans="1:8" ht="15.75" x14ac:dyDescent="0.25">
      <c r="A50" s="164" t="s">
        <v>66</v>
      </c>
      <c r="B50" s="165">
        <f>DATE(21,7,1)</f>
        <v>7853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x14ac:dyDescent="0.25">
      <c r="A51" s="164"/>
      <c r="B51" s="165">
        <f>DATE(21,8,1)</f>
        <v>7884</v>
      </c>
      <c r="C51" s="226">
        <v>0</v>
      </c>
      <c r="D51" s="226">
        <v>0</v>
      </c>
      <c r="E51" s="226">
        <v>0</v>
      </c>
      <c r="F51" s="166">
        <v>0</v>
      </c>
      <c r="G51" s="241">
        <v>0</v>
      </c>
      <c r="H51" s="242">
        <v>0</v>
      </c>
    </row>
    <row r="52" spans="1:8" ht="15.75" x14ac:dyDescent="0.25">
      <c r="A52" s="164"/>
      <c r="B52" s="165">
        <f>DATE(21,9,1)</f>
        <v>7915</v>
      </c>
      <c r="C52" s="226">
        <v>0</v>
      </c>
      <c r="D52" s="226">
        <v>0</v>
      </c>
      <c r="E52" s="226">
        <v>0</v>
      </c>
      <c r="F52" s="166">
        <v>0</v>
      </c>
      <c r="G52" s="241">
        <v>0</v>
      </c>
      <c r="H52" s="242">
        <v>0</v>
      </c>
    </row>
    <row r="53" spans="1:8" ht="15.75" x14ac:dyDescent="0.25">
      <c r="A53" s="164"/>
      <c r="B53" s="165">
        <f>DATE(21,10,1)</f>
        <v>7945</v>
      </c>
      <c r="C53" s="226">
        <v>0</v>
      </c>
      <c r="D53" s="226">
        <v>0</v>
      </c>
      <c r="E53" s="226">
        <v>0</v>
      </c>
      <c r="F53" s="166">
        <v>0</v>
      </c>
      <c r="G53" s="241">
        <v>0</v>
      </c>
      <c r="H53" s="242">
        <v>0</v>
      </c>
    </row>
    <row r="54" spans="1:8" ht="15.75" x14ac:dyDescent="0.25">
      <c r="A54" s="164"/>
      <c r="B54" s="165">
        <f>DATE(21,11,1)</f>
        <v>7976</v>
      </c>
      <c r="C54" s="226">
        <v>0</v>
      </c>
      <c r="D54" s="226">
        <v>0</v>
      </c>
      <c r="E54" s="226">
        <v>0</v>
      </c>
      <c r="F54" s="166">
        <v>0</v>
      </c>
      <c r="G54" s="241">
        <v>0</v>
      </c>
      <c r="H54" s="242">
        <v>0</v>
      </c>
    </row>
    <row r="55" spans="1:8" ht="15.75" thickBot="1" x14ac:dyDescent="0.25">
      <c r="A55" s="167"/>
      <c r="B55" s="165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5"/>
      <c r="C56" s="228">
        <f>SUM(C50:C55)</f>
        <v>0</v>
      </c>
      <c r="D56" s="230">
        <f>SUM(D50:D55)</f>
        <v>0</v>
      </c>
      <c r="E56" s="271">
        <f>SUM(E50:E55)</f>
        <v>0</v>
      </c>
      <c r="F56" s="176">
        <v>0</v>
      </c>
      <c r="G56" s="245">
        <v>0</v>
      </c>
      <c r="H56" s="246">
        <v>0</v>
      </c>
    </row>
    <row r="57" spans="1:8" ht="15.75" thickTop="1" x14ac:dyDescent="0.2">
      <c r="A57" s="167"/>
      <c r="B57" s="168"/>
      <c r="C57" s="226"/>
      <c r="D57" s="226"/>
      <c r="E57" s="226"/>
      <c r="F57" s="166"/>
      <c r="G57" s="241"/>
      <c r="H57" s="242"/>
    </row>
    <row r="58" spans="1:8" ht="15.75" x14ac:dyDescent="0.25">
      <c r="A58" s="164" t="s">
        <v>70</v>
      </c>
      <c r="B58" s="165">
        <f>DATE(21,7,1)</f>
        <v>7853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x14ac:dyDescent="0.25">
      <c r="A59" s="164"/>
      <c r="B59" s="165">
        <f>DATE(21,8,1)</f>
        <v>7884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DATE(21,9,1)</f>
        <v>7915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64"/>
      <c r="B61" s="165">
        <f>DATE(21,10,1)</f>
        <v>7945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42">
        <v>0</v>
      </c>
    </row>
    <row r="62" spans="1:8" ht="15.75" x14ac:dyDescent="0.25">
      <c r="A62" s="164"/>
      <c r="B62" s="165">
        <f>DATE(21,11,1)</f>
        <v>7976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42">
        <v>0</v>
      </c>
    </row>
    <row r="63" spans="1:8" ht="15.75" thickBot="1" x14ac:dyDescent="0.25">
      <c r="A63" s="167"/>
      <c r="B63" s="165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5"/>
      <c r="C64" s="228">
        <f>SUM(C58:C63)</f>
        <v>0</v>
      </c>
      <c r="D64" s="230">
        <f>SUM(D58:D63)</f>
        <v>0</v>
      </c>
      <c r="E64" s="271">
        <f>SUM(E58:E63)</f>
        <v>0</v>
      </c>
      <c r="F64" s="176">
        <v>0</v>
      </c>
      <c r="G64" s="245">
        <v>0</v>
      </c>
      <c r="H64" s="246">
        <v>0</v>
      </c>
    </row>
    <row r="65" spans="1:8" ht="15.75" thickTop="1" x14ac:dyDescent="0.2">
      <c r="A65" s="167"/>
      <c r="B65" s="168"/>
      <c r="C65" s="226"/>
      <c r="D65" s="226"/>
      <c r="E65" s="226"/>
      <c r="F65" s="166"/>
      <c r="G65" s="241"/>
      <c r="H65" s="242"/>
    </row>
    <row r="66" spans="1:8" ht="15.75" x14ac:dyDescent="0.25">
      <c r="A66" s="164" t="s">
        <v>60</v>
      </c>
      <c r="B66" s="165">
        <f>DATE(21,7,1)</f>
        <v>7853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DATE(21,8,1)</f>
        <v>7884</v>
      </c>
      <c r="C67" s="226">
        <v>0</v>
      </c>
      <c r="D67" s="226">
        <v>0</v>
      </c>
      <c r="E67" s="226">
        <v>118455</v>
      </c>
      <c r="F67" s="166">
        <v>-1</v>
      </c>
      <c r="G67" s="241">
        <v>0</v>
      </c>
      <c r="H67" s="242">
        <v>0</v>
      </c>
    </row>
    <row r="68" spans="1:8" ht="15.75" x14ac:dyDescent="0.25">
      <c r="A68" s="164"/>
      <c r="B68" s="165">
        <f>DATE(21,9,1)</f>
        <v>7915</v>
      </c>
      <c r="C68" s="226">
        <v>0</v>
      </c>
      <c r="D68" s="226">
        <v>0</v>
      </c>
      <c r="E68" s="226">
        <v>106241</v>
      </c>
      <c r="F68" s="166">
        <v>-1</v>
      </c>
      <c r="G68" s="241">
        <v>0</v>
      </c>
      <c r="H68" s="242">
        <v>0</v>
      </c>
    </row>
    <row r="69" spans="1:8" ht="15.75" x14ac:dyDescent="0.25">
      <c r="A69" s="164"/>
      <c r="B69" s="165">
        <f>DATE(21,10,1)</f>
        <v>7945</v>
      </c>
      <c r="C69" s="226">
        <v>0</v>
      </c>
      <c r="D69" s="226">
        <v>0</v>
      </c>
      <c r="E69" s="226">
        <v>82618</v>
      </c>
      <c r="F69" s="166">
        <v>-1</v>
      </c>
      <c r="G69" s="241">
        <v>0</v>
      </c>
      <c r="H69" s="242">
        <v>0</v>
      </c>
    </row>
    <row r="70" spans="1:8" ht="15.75" x14ac:dyDescent="0.25">
      <c r="A70" s="164"/>
      <c r="B70" s="165">
        <f>DATE(21,11,1)</f>
        <v>7976</v>
      </c>
      <c r="C70" s="226">
        <v>0</v>
      </c>
      <c r="D70" s="226">
        <v>0</v>
      </c>
      <c r="E70" s="226">
        <v>81702.080000000002</v>
      </c>
      <c r="F70" s="166">
        <v>-1</v>
      </c>
      <c r="G70" s="241">
        <v>0</v>
      </c>
      <c r="H70" s="242">
        <v>0</v>
      </c>
    </row>
    <row r="71" spans="1:8" ht="15.75" thickBot="1" x14ac:dyDescent="0.25">
      <c r="A71" s="167"/>
      <c r="B71" s="165"/>
      <c r="C71" s="226"/>
      <c r="D71" s="226"/>
      <c r="E71" s="226"/>
      <c r="F71" s="166"/>
      <c r="G71" s="241"/>
      <c r="H71" s="242"/>
    </row>
    <row r="72" spans="1:8" ht="17.25" thickTop="1" thickBot="1" x14ac:dyDescent="0.3">
      <c r="A72" s="174" t="s">
        <v>14</v>
      </c>
      <c r="B72" s="175"/>
      <c r="C72" s="228">
        <f>SUM(C66:C71)</f>
        <v>0</v>
      </c>
      <c r="D72" s="230">
        <f>SUM(D66:D71)</f>
        <v>0</v>
      </c>
      <c r="E72" s="271">
        <f>SUM(E66:E71)</f>
        <v>389016.08</v>
      </c>
      <c r="F72" s="176">
        <f>+(D72-E72)/E72</f>
        <v>-1</v>
      </c>
      <c r="G72" s="249">
        <v>0</v>
      </c>
      <c r="H72" s="270">
        <v>0</v>
      </c>
    </row>
    <row r="73" spans="1:8" ht="15.75" thickTop="1" x14ac:dyDescent="0.2">
      <c r="A73" s="167"/>
      <c r="B73" s="179"/>
      <c r="C73" s="229"/>
      <c r="D73" s="229"/>
      <c r="E73" s="229"/>
      <c r="F73" s="180"/>
      <c r="G73" s="247"/>
      <c r="H73" s="248"/>
    </row>
    <row r="74" spans="1:8" ht="15.75" x14ac:dyDescent="0.25">
      <c r="A74" s="164" t="s">
        <v>16</v>
      </c>
      <c r="B74" s="165">
        <f>DATE(21,7,1)</f>
        <v>7853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DATE(21,8,1)</f>
        <v>7884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DATE(21,9,1)</f>
        <v>7915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DATE(21,10,1)</f>
        <v>7945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DATE(21,11,1)</f>
        <v>7976</v>
      </c>
      <c r="C78" s="226">
        <v>0</v>
      </c>
      <c r="D78" s="226">
        <v>0</v>
      </c>
      <c r="E78" s="226">
        <v>0</v>
      </c>
      <c r="F78" s="166">
        <v>0</v>
      </c>
      <c r="G78" s="241">
        <v>0</v>
      </c>
      <c r="H78" s="242">
        <v>0</v>
      </c>
    </row>
    <row r="79" spans="1:8" ht="16.5" thickBot="1" x14ac:dyDescent="0.3">
      <c r="A79" s="164"/>
      <c r="B79" s="165"/>
      <c r="C79" s="226"/>
      <c r="D79" s="226"/>
      <c r="E79" s="226"/>
      <c r="F79" s="166"/>
      <c r="G79" s="241"/>
      <c r="H79" s="242"/>
    </row>
    <row r="80" spans="1:8" ht="17.25" thickTop="1" thickBot="1" x14ac:dyDescent="0.3">
      <c r="A80" s="174" t="s">
        <v>14</v>
      </c>
      <c r="B80" s="181"/>
      <c r="C80" s="228">
        <f>SUM(C74:C79)</f>
        <v>0</v>
      </c>
      <c r="D80" s="228">
        <f>SUM(D74:D79)</f>
        <v>0</v>
      </c>
      <c r="E80" s="228">
        <f>SUM(E74:E79)</f>
        <v>0</v>
      </c>
      <c r="F80" s="176">
        <v>0</v>
      </c>
      <c r="G80" s="245">
        <v>0</v>
      </c>
      <c r="H80" s="246">
        <v>0</v>
      </c>
    </row>
    <row r="81" spans="1:8" ht="15.75" thickTop="1" x14ac:dyDescent="0.2">
      <c r="A81" s="171"/>
      <c r="B81" s="172"/>
      <c r="C81" s="227"/>
      <c r="D81" s="227"/>
      <c r="E81" s="227"/>
      <c r="F81" s="173"/>
      <c r="G81" s="243"/>
      <c r="H81" s="244"/>
    </row>
    <row r="82" spans="1:8" ht="15.75" x14ac:dyDescent="0.25">
      <c r="A82" s="164" t="s">
        <v>54</v>
      </c>
      <c r="B82" s="165">
        <f>DATE(21,7,1)</f>
        <v>7853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DATE(21,8,1)</f>
        <v>7884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DATE(21,9,1)</f>
        <v>7915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x14ac:dyDescent="0.25">
      <c r="A85" s="164"/>
      <c r="B85" s="165">
        <f>DATE(21,10,1)</f>
        <v>7945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DATE(21,11,1)</f>
        <v>7976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thickBot="1" x14ac:dyDescent="0.25">
      <c r="A87" s="167"/>
      <c r="B87" s="168"/>
      <c r="C87" s="226"/>
      <c r="D87" s="226"/>
      <c r="E87" s="226"/>
      <c r="F87" s="166"/>
      <c r="G87" s="241"/>
      <c r="H87" s="242"/>
    </row>
    <row r="88" spans="1:8" ht="17.25" thickTop="1" thickBot="1" x14ac:dyDescent="0.3">
      <c r="A88" s="174" t="s">
        <v>14</v>
      </c>
      <c r="B88" s="175"/>
      <c r="C88" s="228">
        <f>SUM(C82:C87)</f>
        <v>0</v>
      </c>
      <c r="D88" s="228">
        <f>SUM(D82:D87)</f>
        <v>0</v>
      </c>
      <c r="E88" s="228">
        <f>SUM(E82:E87)</f>
        <v>0</v>
      </c>
      <c r="F88" s="176">
        <v>0</v>
      </c>
      <c r="G88" s="245">
        <v>0</v>
      </c>
      <c r="H88" s="246">
        <v>0</v>
      </c>
    </row>
    <row r="89" spans="1:8" ht="15.75" thickTop="1" x14ac:dyDescent="0.2">
      <c r="A89" s="167"/>
      <c r="B89" s="168"/>
      <c r="C89" s="226"/>
      <c r="D89" s="226"/>
      <c r="E89" s="226"/>
      <c r="F89" s="166"/>
      <c r="G89" s="241"/>
      <c r="H89" s="242"/>
    </row>
    <row r="90" spans="1:8" ht="15.75" x14ac:dyDescent="0.25">
      <c r="A90" s="164" t="s">
        <v>55</v>
      </c>
      <c r="B90" s="165">
        <f>DATE(21,7,1)</f>
        <v>7853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x14ac:dyDescent="0.25">
      <c r="A91" s="164"/>
      <c r="B91" s="165">
        <f>DATE(21,8,1)</f>
        <v>7884</v>
      </c>
      <c r="C91" s="226">
        <v>0</v>
      </c>
      <c r="D91" s="226">
        <v>0</v>
      </c>
      <c r="E91" s="226">
        <v>0</v>
      </c>
      <c r="F91" s="166">
        <v>0</v>
      </c>
      <c r="G91" s="241">
        <v>0</v>
      </c>
      <c r="H91" s="242">
        <v>0</v>
      </c>
    </row>
    <row r="92" spans="1:8" ht="15.75" x14ac:dyDescent="0.25">
      <c r="A92" s="164"/>
      <c r="B92" s="165">
        <f>DATE(21,9,1)</f>
        <v>7915</v>
      </c>
      <c r="C92" s="226">
        <v>0</v>
      </c>
      <c r="D92" s="226">
        <v>0</v>
      </c>
      <c r="E92" s="226">
        <v>0</v>
      </c>
      <c r="F92" s="166">
        <v>0</v>
      </c>
      <c r="G92" s="241">
        <v>0</v>
      </c>
      <c r="H92" s="242">
        <v>0</v>
      </c>
    </row>
    <row r="93" spans="1:8" ht="15.75" x14ac:dyDescent="0.25">
      <c r="A93" s="164"/>
      <c r="B93" s="165">
        <f>DATE(21,10,1)</f>
        <v>7945</v>
      </c>
      <c r="C93" s="226">
        <v>0</v>
      </c>
      <c r="D93" s="226">
        <v>0</v>
      </c>
      <c r="E93" s="226">
        <v>0</v>
      </c>
      <c r="F93" s="166">
        <v>0</v>
      </c>
      <c r="G93" s="241">
        <v>0</v>
      </c>
      <c r="H93" s="242">
        <v>0</v>
      </c>
    </row>
    <row r="94" spans="1:8" ht="15.75" x14ac:dyDescent="0.25">
      <c r="A94" s="164"/>
      <c r="B94" s="165">
        <f>DATE(21,11,1)</f>
        <v>7976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thickBot="1" x14ac:dyDescent="0.25">
      <c r="A95" s="167"/>
      <c r="B95" s="168"/>
      <c r="C95" s="226"/>
      <c r="D95" s="226"/>
      <c r="E95" s="226"/>
      <c r="F95" s="166"/>
      <c r="G95" s="241"/>
      <c r="H95" s="242"/>
    </row>
    <row r="96" spans="1:8" ht="17.25" thickTop="1" thickBot="1" x14ac:dyDescent="0.3">
      <c r="A96" s="182" t="s">
        <v>14</v>
      </c>
      <c r="B96" s="183"/>
      <c r="C96" s="230">
        <f>SUM(C90:C95)</f>
        <v>0</v>
      </c>
      <c r="D96" s="230">
        <f>SUM(D90:D95)</f>
        <v>0</v>
      </c>
      <c r="E96" s="230">
        <f>SUM(E90:E95)</f>
        <v>0</v>
      </c>
      <c r="F96" s="176">
        <v>0</v>
      </c>
      <c r="G96" s="245">
        <v>0</v>
      </c>
      <c r="H96" s="246">
        <v>0</v>
      </c>
    </row>
    <row r="97" spans="1:8" ht="15.75" thickTop="1" x14ac:dyDescent="0.2">
      <c r="A97" s="167"/>
      <c r="B97" s="168"/>
      <c r="C97" s="226"/>
      <c r="D97" s="226"/>
      <c r="E97" s="226"/>
      <c r="F97" s="166"/>
      <c r="G97" s="241"/>
      <c r="H97" s="242"/>
    </row>
    <row r="98" spans="1:8" ht="15.75" x14ac:dyDescent="0.25">
      <c r="A98" s="164" t="s">
        <v>37</v>
      </c>
      <c r="B98" s="165">
        <f>DATE(21,7,1)</f>
        <v>7853</v>
      </c>
      <c r="C98" s="226">
        <v>4521310.28</v>
      </c>
      <c r="D98" s="226">
        <v>209181.95</v>
      </c>
      <c r="E98" s="226">
        <v>0</v>
      </c>
      <c r="F98" s="166">
        <v>1</v>
      </c>
      <c r="G98" s="241">
        <f>+D98/C98</f>
        <v>4.6265780724078068E-2</v>
      </c>
      <c r="H98" s="289">
        <f>1-G98</f>
        <v>0.95373421927592195</v>
      </c>
    </row>
    <row r="99" spans="1:8" ht="15.75" x14ac:dyDescent="0.25">
      <c r="A99" s="164"/>
      <c r="B99" s="165">
        <f>DATE(21,8,1)</f>
        <v>7884</v>
      </c>
      <c r="C99" s="226">
        <v>3704866.99</v>
      </c>
      <c r="D99" s="226">
        <v>126701.54</v>
      </c>
      <c r="E99" s="226">
        <v>0</v>
      </c>
      <c r="F99" s="166">
        <v>1</v>
      </c>
      <c r="G99" s="241">
        <f>+D99/C99</f>
        <v>3.4198674430684486E-2</v>
      </c>
      <c r="H99" s="289">
        <f>1-G99</f>
        <v>0.96580132556931553</v>
      </c>
    </row>
    <row r="100" spans="1:8" ht="15.75" x14ac:dyDescent="0.25">
      <c r="A100" s="164"/>
      <c r="B100" s="165">
        <f>DATE(21,9,1)</f>
        <v>7915</v>
      </c>
      <c r="C100" s="226">
        <v>3225792.95</v>
      </c>
      <c r="D100" s="226">
        <v>145306.89000000001</v>
      </c>
      <c r="E100" s="226">
        <v>0</v>
      </c>
      <c r="F100" s="166">
        <v>1</v>
      </c>
      <c r="G100" s="241">
        <f>+D100/C100</f>
        <v>4.5045324437205436E-2</v>
      </c>
      <c r="H100" s="289">
        <f>1-G100</f>
        <v>0.95495467556279456</v>
      </c>
    </row>
    <row r="101" spans="1:8" ht="15.75" x14ac:dyDescent="0.25">
      <c r="A101" s="164"/>
      <c r="B101" s="165">
        <f>DATE(21,10,1)</f>
        <v>7945</v>
      </c>
      <c r="C101" s="226">
        <v>4369745.4400000004</v>
      </c>
      <c r="D101" s="226">
        <v>179665.17</v>
      </c>
      <c r="E101" s="226">
        <v>0</v>
      </c>
      <c r="F101" s="166">
        <v>1</v>
      </c>
      <c r="G101" s="241">
        <f>+D101/C101</f>
        <v>4.1115706273269777E-2</v>
      </c>
      <c r="H101" s="289">
        <f>1-G101</f>
        <v>0.95888429372673023</v>
      </c>
    </row>
    <row r="102" spans="1:8" ht="15.75" x14ac:dyDescent="0.25">
      <c r="A102" s="164"/>
      <c r="B102" s="165">
        <f>DATE(21,11,1)</f>
        <v>7976</v>
      </c>
      <c r="C102" s="226">
        <v>5826637.7300000004</v>
      </c>
      <c r="D102" s="226">
        <v>200635.43</v>
      </c>
      <c r="E102" s="226">
        <v>0</v>
      </c>
      <c r="F102" s="166">
        <v>1</v>
      </c>
      <c r="G102" s="241">
        <f>+D102/C102</f>
        <v>3.4434169292347612E-2</v>
      </c>
      <c r="H102" s="289">
        <f>1-G102</f>
        <v>0.96556583070765234</v>
      </c>
    </row>
    <row r="103" spans="1:8" ht="15.75" thickBot="1" x14ac:dyDescent="0.25">
      <c r="A103" s="167"/>
      <c r="B103" s="168"/>
      <c r="C103" s="226"/>
      <c r="D103" s="226"/>
      <c r="E103" s="226"/>
      <c r="F103" s="166"/>
      <c r="G103" s="241"/>
      <c r="H103" s="242"/>
    </row>
    <row r="104" spans="1:8" ht="17.25" thickTop="1" thickBot="1" x14ac:dyDescent="0.3">
      <c r="A104" s="174" t="s">
        <v>14</v>
      </c>
      <c r="B104" s="175"/>
      <c r="C104" s="228">
        <f>SUM(C98:C103)</f>
        <v>21648353.390000001</v>
      </c>
      <c r="D104" s="228">
        <f>SUM(D98:D103)</f>
        <v>861490.98</v>
      </c>
      <c r="E104" s="228">
        <f>SUM(E98:E103)</f>
        <v>0</v>
      </c>
      <c r="F104" s="176">
        <v>1</v>
      </c>
      <c r="G104" s="245">
        <f>+D104/C104</f>
        <v>3.9794757803517176E-2</v>
      </c>
      <c r="H104" s="246">
        <f>1-G104</f>
        <v>0.96020524219648284</v>
      </c>
    </row>
    <row r="105" spans="1:8" ht="15.75" thickTop="1" x14ac:dyDescent="0.2">
      <c r="A105" s="167"/>
      <c r="B105" s="168"/>
      <c r="C105" s="226"/>
      <c r="D105" s="226"/>
      <c r="E105" s="226"/>
      <c r="F105" s="166"/>
      <c r="G105" s="241"/>
      <c r="H105" s="242"/>
    </row>
    <row r="106" spans="1:8" ht="15.75" x14ac:dyDescent="0.25">
      <c r="A106" s="164" t="s">
        <v>58</v>
      </c>
      <c r="B106" s="165">
        <f>DATE(21,7,1)</f>
        <v>7853</v>
      </c>
      <c r="C106" s="226">
        <v>0</v>
      </c>
      <c r="D106" s="226">
        <v>0</v>
      </c>
      <c r="E106" s="226">
        <v>0</v>
      </c>
      <c r="F106" s="166">
        <v>0</v>
      </c>
      <c r="G106" s="241">
        <v>0</v>
      </c>
      <c r="H106" s="242">
        <v>0</v>
      </c>
    </row>
    <row r="107" spans="1:8" ht="15.75" x14ac:dyDescent="0.25">
      <c r="A107" s="164"/>
      <c r="B107" s="165">
        <f>DATE(21,8,1)</f>
        <v>7884</v>
      </c>
      <c r="C107" s="226">
        <v>0</v>
      </c>
      <c r="D107" s="226">
        <v>0</v>
      </c>
      <c r="E107" s="226">
        <v>0</v>
      </c>
      <c r="F107" s="166">
        <v>0</v>
      </c>
      <c r="G107" s="241">
        <v>0</v>
      </c>
      <c r="H107" s="242">
        <v>0</v>
      </c>
    </row>
    <row r="108" spans="1:8" ht="15.75" x14ac:dyDescent="0.25">
      <c r="A108" s="164"/>
      <c r="B108" s="165">
        <f>DATE(21,9,1)</f>
        <v>7915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DATE(21,10,1)</f>
        <v>7945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DATE(21,11,1)</f>
        <v>7976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thickBot="1" x14ac:dyDescent="0.25">
      <c r="A111" s="167"/>
      <c r="B111" s="168"/>
      <c r="C111" s="226"/>
      <c r="D111" s="226"/>
      <c r="E111" s="226"/>
      <c r="F111" s="166"/>
      <c r="G111" s="241"/>
      <c r="H111" s="242"/>
    </row>
    <row r="112" spans="1:8" ht="17.25" thickTop="1" thickBot="1" x14ac:dyDescent="0.3">
      <c r="A112" s="169" t="s">
        <v>14</v>
      </c>
      <c r="B112" s="155"/>
      <c r="C112" s="223">
        <f>SUM(C106:C111)</f>
        <v>0</v>
      </c>
      <c r="D112" s="223">
        <f>SUM(D106:D111)</f>
        <v>0</v>
      </c>
      <c r="E112" s="223">
        <f>SUM(E106:E111)</f>
        <v>0</v>
      </c>
      <c r="F112" s="176">
        <v>0</v>
      </c>
      <c r="G112" s="245">
        <v>0</v>
      </c>
      <c r="H112" s="246">
        <v>0</v>
      </c>
    </row>
    <row r="113" spans="1:8" ht="16.5" thickTop="1" thickBot="1" x14ac:dyDescent="0.25">
      <c r="A113" s="171"/>
      <c r="B113" s="172"/>
      <c r="C113" s="227"/>
      <c r="D113" s="227"/>
      <c r="E113" s="227"/>
      <c r="F113" s="173"/>
      <c r="G113" s="243"/>
      <c r="H113" s="244"/>
    </row>
    <row r="114" spans="1:8" ht="17.25" thickTop="1" thickBot="1" x14ac:dyDescent="0.3">
      <c r="A114" s="184" t="s">
        <v>38</v>
      </c>
      <c r="B114" s="155"/>
      <c r="C114" s="223">
        <f>C112+C104+C80+C64+C48+C32+C16+C40+C96+C24+C72+C88+C56</f>
        <v>22743879.440000001</v>
      </c>
      <c r="D114" s="223">
        <f>D112+D104+D80+D64+D48+D32+D16+D40+D96+D24+D72+D88+D56</f>
        <v>912592.01</v>
      </c>
      <c r="E114" s="223">
        <f>E112+E104+E80+E64+E48+E32+E16+E40+E96+E24+E72+E88+E56</f>
        <v>389016.08</v>
      </c>
      <c r="F114" s="176">
        <f>+(D114-E114)/E114</f>
        <v>1.3458979124976016</v>
      </c>
      <c r="G114" s="236">
        <f>D114/C114</f>
        <v>4.0124729486343075E-2</v>
      </c>
      <c r="H114" s="237">
        <f>1-G114</f>
        <v>0.95987527051365695</v>
      </c>
    </row>
    <row r="115" spans="1:8" ht="17.25" thickTop="1" thickBot="1" x14ac:dyDescent="0.3">
      <c r="A115" s="184"/>
      <c r="B115" s="155"/>
      <c r="C115" s="223"/>
      <c r="D115" s="223"/>
      <c r="E115" s="223"/>
      <c r="F115" s="170"/>
      <c r="G115" s="236"/>
      <c r="H115" s="237"/>
    </row>
    <row r="116" spans="1:8" ht="17.25" thickTop="1" thickBot="1" x14ac:dyDescent="0.3">
      <c r="A116" s="184" t="s">
        <v>39</v>
      </c>
      <c r="B116" s="155"/>
      <c r="C116" s="223">
        <f>SUM(C14+C22+C30+C38+C46+C54+C62+C70+C78+C86+C94+C102+C110)</f>
        <v>6922163.7800000003</v>
      </c>
      <c r="D116" s="223">
        <f>SUM(D14+D22+D30+D38+D46+D54+D62+D70+D78+D86+D94+D102+D110)</f>
        <v>251736.46</v>
      </c>
      <c r="E116" s="223">
        <f>SUM(E14+E22+E30+E38+E46+E54+E62+E70+E78+E86+E94+E102+E110)</f>
        <v>81702.080000000002</v>
      </c>
      <c r="F116" s="176">
        <f>+(D116-E116)/E116</f>
        <v>2.0811511775465203</v>
      </c>
      <c r="G116" s="236">
        <f>D116/C116</f>
        <v>3.6366729826204716E-2</v>
      </c>
      <c r="H116" s="246">
        <f>1-G116</f>
        <v>0.9636332701737953</v>
      </c>
    </row>
    <row r="117" spans="1:8" ht="16.5" thickTop="1" x14ac:dyDescent="0.25">
      <c r="A117" s="185"/>
      <c r="B117" s="186"/>
      <c r="C117" s="231"/>
      <c r="D117" s="231"/>
      <c r="E117" s="231"/>
      <c r="F117" s="187"/>
      <c r="G117" s="250"/>
      <c r="H117" s="250"/>
    </row>
    <row r="118" spans="1:8" ht="18.75" x14ac:dyDescent="0.3">
      <c r="A118" s="188" t="s">
        <v>49</v>
      </c>
      <c r="B118" s="189"/>
      <c r="C118" s="232"/>
      <c r="D118" s="232"/>
      <c r="E118" s="232"/>
      <c r="F118" s="190"/>
      <c r="G118" s="251"/>
      <c r="H118" s="251"/>
    </row>
    <row r="119" spans="1:8" ht="15.75" x14ac:dyDescent="0.25">
      <c r="A119" s="191"/>
      <c r="B119" s="189"/>
      <c r="C119" s="232"/>
      <c r="D119" s="232"/>
      <c r="E119" s="232"/>
      <c r="F119" s="190"/>
      <c r="G119" s="257"/>
      <c r="H119" s="257"/>
    </row>
  </sheetData>
  <printOptions horizontalCentered="1"/>
  <pageMargins left="0.7" right="0.45" top="0.25" bottom="0.25" header="0.3" footer="0.3"/>
  <pageSetup scale="65" orientation="landscape" r:id="rId1"/>
  <rowBreaks count="2" manualBreakCount="2">
    <brk id="48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20"/>
  <sheetViews>
    <sheetView showOutlineSymbols="0" view="pageBreakPreview" topLeftCell="A58" zoomScale="60" zoomScaleNormal="100" workbookViewId="0">
      <selection activeCell="M100" sqref="M100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DATE(21,7,1)</f>
        <v>7853</v>
      </c>
      <c r="C10" s="226">
        <v>137710679.78</v>
      </c>
      <c r="D10" s="226">
        <v>13537622.550000001</v>
      </c>
      <c r="E10" s="226">
        <v>11655862.98</v>
      </c>
      <c r="F10" s="166">
        <f>(+D10-E10)/E10</f>
        <v>0.16144317870147099</v>
      </c>
      <c r="G10" s="241">
        <f>D10/C10</f>
        <v>9.830481246354357E-2</v>
      </c>
      <c r="H10" s="242">
        <f>1-G10</f>
        <v>0.90169518753645639</v>
      </c>
      <c r="I10" s="157"/>
    </row>
    <row r="11" spans="1:9" ht="15.75" x14ac:dyDescent="0.25">
      <c r="A11" s="164"/>
      <c r="B11" s="165">
        <f>DATE(21,8,1)</f>
        <v>7884</v>
      </c>
      <c r="C11" s="226">
        <v>128391630.95</v>
      </c>
      <c r="D11" s="226">
        <v>12571995.619999999</v>
      </c>
      <c r="E11" s="226">
        <v>11056944.539999999</v>
      </c>
      <c r="F11" s="166">
        <f>(+D11-E11)/E11</f>
        <v>0.1370225811044902</v>
      </c>
      <c r="G11" s="241">
        <f>D11/C11</f>
        <v>9.7919120794531814E-2</v>
      </c>
      <c r="H11" s="242">
        <f>1-G11</f>
        <v>0.9020808792054682</v>
      </c>
      <c r="I11" s="157"/>
    </row>
    <row r="12" spans="1:9" ht="15.75" x14ac:dyDescent="0.25">
      <c r="A12" s="164"/>
      <c r="B12" s="165">
        <f>DATE(21,9,1)</f>
        <v>7915</v>
      </c>
      <c r="C12" s="226">
        <v>124375181.01000001</v>
      </c>
      <c r="D12" s="226">
        <v>11932276.220000001</v>
      </c>
      <c r="E12" s="226">
        <v>11050997.59</v>
      </c>
      <c r="F12" s="166">
        <f>(+D12-E12)/E12</f>
        <v>7.9746522684745316E-2</v>
      </c>
      <c r="G12" s="241">
        <f>D12/C12</f>
        <v>9.5937759632612099E-2</v>
      </c>
      <c r="H12" s="242">
        <f>1-G12</f>
        <v>0.90406224036738791</v>
      </c>
      <c r="I12" s="157"/>
    </row>
    <row r="13" spans="1:9" ht="15.75" x14ac:dyDescent="0.25">
      <c r="A13" s="164"/>
      <c r="B13" s="165">
        <f>DATE(21,10,1)</f>
        <v>7945</v>
      </c>
      <c r="C13" s="226">
        <v>130707452.04000001</v>
      </c>
      <c r="D13" s="226">
        <v>12592302.91</v>
      </c>
      <c r="E13" s="226">
        <v>11431719.140000001</v>
      </c>
      <c r="F13" s="166">
        <f>(+D13-E13)/E13</f>
        <v>0.10152311789563433</v>
      </c>
      <c r="G13" s="241">
        <f>D13/C13</f>
        <v>9.6339594364875353E-2</v>
      </c>
      <c r="H13" s="242">
        <f>1-G13</f>
        <v>0.90366040563512462</v>
      </c>
      <c r="I13" s="157"/>
    </row>
    <row r="14" spans="1:9" ht="15.75" x14ac:dyDescent="0.25">
      <c r="A14" s="164"/>
      <c r="B14" s="165">
        <f>DATE(21,11,1)</f>
        <v>7976</v>
      </c>
      <c r="C14" s="226">
        <v>116416163.67</v>
      </c>
      <c r="D14" s="226">
        <v>11228260.109999999</v>
      </c>
      <c r="E14" s="226">
        <v>9830852.8200000003</v>
      </c>
      <c r="F14" s="166">
        <f>(+D14-E14)/E14</f>
        <v>0.14214507282187133</v>
      </c>
      <c r="G14" s="241">
        <f>D14/C14</f>
        <v>9.6449322465463436E-2</v>
      </c>
      <c r="H14" s="242">
        <f>1-G14</f>
        <v>0.90355067753453655</v>
      </c>
      <c r="I14" s="157"/>
    </row>
    <row r="15" spans="1:9" ht="15.75" thickBot="1" x14ac:dyDescent="0.25">
      <c r="A15" s="167"/>
      <c r="B15" s="168"/>
      <c r="C15" s="226"/>
      <c r="D15" s="226"/>
      <c r="E15" s="226"/>
      <c r="F15" s="166"/>
      <c r="G15" s="241"/>
      <c r="H15" s="242"/>
      <c r="I15" s="157"/>
    </row>
    <row r="16" spans="1:9" ht="17.25" thickTop="1" thickBot="1" x14ac:dyDescent="0.3">
      <c r="A16" s="169" t="s">
        <v>14</v>
      </c>
      <c r="B16" s="155"/>
      <c r="C16" s="223">
        <f>SUM(C10:C15)</f>
        <v>637601107.45000005</v>
      </c>
      <c r="D16" s="223">
        <f>SUM(D10:D15)</f>
        <v>61862457.409999996</v>
      </c>
      <c r="E16" s="223">
        <f>SUM(E10:E15)</f>
        <v>55026377.07</v>
      </c>
      <c r="F16" s="170">
        <f>(+D16-E16)/E16</f>
        <v>0.12423278987282228</v>
      </c>
      <c r="G16" s="236">
        <f>D16/C16</f>
        <v>9.7023760917559543E-2</v>
      </c>
      <c r="H16" s="237">
        <f>1-G16</f>
        <v>0.90297623908244051</v>
      </c>
      <c r="I16" s="157"/>
    </row>
    <row r="17" spans="1:9" ht="15.75" thickTop="1" x14ac:dyDescent="0.2">
      <c r="A17" s="171"/>
      <c r="B17" s="172"/>
      <c r="C17" s="227"/>
      <c r="D17" s="227"/>
      <c r="E17" s="227"/>
      <c r="F17" s="173"/>
      <c r="G17" s="243"/>
      <c r="H17" s="244"/>
      <c r="I17" s="157"/>
    </row>
    <row r="18" spans="1:9" ht="15.75" x14ac:dyDescent="0.25">
      <c r="A18" s="19" t="s">
        <v>48</v>
      </c>
      <c r="B18" s="165">
        <f>DATE(21,7,1)</f>
        <v>7853</v>
      </c>
      <c r="C18" s="226">
        <v>73584363.370000005</v>
      </c>
      <c r="D18" s="226">
        <v>7305624.1500000004</v>
      </c>
      <c r="E18" s="226">
        <v>5066109.03</v>
      </c>
      <c r="F18" s="166">
        <f>(+D18-E18)/E18</f>
        <v>0.44205821602698508</v>
      </c>
      <c r="G18" s="241">
        <f>D18/C18</f>
        <v>9.928229063103465E-2</v>
      </c>
      <c r="H18" s="242">
        <f>1-G18</f>
        <v>0.90071770936896534</v>
      </c>
      <c r="I18" s="157"/>
    </row>
    <row r="19" spans="1:9" ht="15.75" x14ac:dyDescent="0.25">
      <c r="A19" s="19"/>
      <c r="B19" s="165">
        <f>DATE(21,8,1)</f>
        <v>7884</v>
      </c>
      <c r="C19" s="226">
        <v>67816496.489999995</v>
      </c>
      <c r="D19" s="226">
        <v>6574172.1100000003</v>
      </c>
      <c r="E19" s="226">
        <v>5468550.7300000004</v>
      </c>
      <c r="F19" s="166">
        <f>(+D19-E19)/E19</f>
        <v>0.20217813358384989</v>
      </c>
      <c r="G19" s="241">
        <f>D19/C19</f>
        <v>9.6940603691749352E-2</v>
      </c>
      <c r="H19" s="242">
        <f>1-G19</f>
        <v>0.90305939630825061</v>
      </c>
      <c r="I19" s="157"/>
    </row>
    <row r="20" spans="1:9" ht="15.75" x14ac:dyDescent="0.25">
      <c r="A20" s="19"/>
      <c r="B20" s="165">
        <f>DATE(21,9,1)</f>
        <v>7915</v>
      </c>
      <c r="C20" s="226">
        <v>67990554.870000005</v>
      </c>
      <c r="D20" s="226">
        <v>6771046.1100000003</v>
      </c>
      <c r="E20" s="226">
        <v>5506925.1600000001</v>
      </c>
      <c r="F20" s="166">
        <f>(+D20-E20)/E20</f>
        <v>0.22955114029550389</v>
      </c>
      <c r="G20" s="241">
        <f>D20/C20</f>
        <v>9.9588040176263382E-2</v>
      </c>
      <c r="H20" s="242">
        <f>1-G20</f>
        <v>0.90041195982373656</v>
      </c>
      <c r="I20" s="157"/>
    </row>
    <row r="21" spans="1:9" ht="15.75" x14ac:dyDescent="0.25">
      <c r="A21" s="19"/>
      <c r="B21" s="165">
        <f>DATE(21,10,1)</f>
        <v>7945</v>
      </c>
      <c r="C21" s="226">
        <v>70153959.480000004</v>
      </c>
      <c r="D21" s="226">
        <v>7189129.7599999998</v>
      </c>
      <c r="E21" s="226">
        <v>5104255.3899999997</v>
      </c>
      <c r="F21" s="166">
        <f>(+D21-E21)/E21</f>
        <v>0.40845808265875194</v>
      </c>
      <c r="G21" s="241">
        <f>D21/C21</f>
        <v>0.10247646481093528</v>
      </c>
      <c r="H21" s="242">
        <f>1-G21</f>
        <v>0.89752353518906469</v>
      </c>
      <c r="I21" s="157"/>
    </row>
    <row r="22" spans="1:9" ht="15.75" x14ac:dyDescent="0.25">
      <c r="A22" s="19"/>
      <c r="B22" s="165">
        <f>DATE(21,11,1)</f>
        <v>7976</v>
      </c>
      <c r="C22" s="226">
        <v>61861650.840000004</v>
      </c>
      <c r="D22" s="226">
        <v>6088324.1399999997</v>
      </c>
      <c r="E22" s="226">
        <v>4814628.37</v>
      </c>
      <c r="F22" s="166">
        <f>(+D22-E22)/E22</f>
        <v>0.26454705786565197</v>
      </c>
      <c r="G22" s="241">
        <f>D22/C22</f>
        <v>9.8418390995528751E-2</v>
      </c>
      <c r="H22" s="242">
        <f>1-G22</f>
        <v>0.90158160900447126</v>
      </c>
      <c r="I22" s="157"/>
    </row>
    <row r="23" spans="1:9" ht="15.75" thickBot="1" x14ac:dyDescent="0.25">
      <c r="A23" s="167"/>
      <c r="B23" s="165"/>
      <c r="C23" s="226"/>
      <c r="D23" s="226"/>
      <c r="E23" s="226"/>
      <c r="F23" s="166"/>
      <c r="G23" s="241"/>
      <c r="H23" s="242"/>
      <c r="I23" s="157"/>
    </row>
    <row r="24" spans="1:9" ht="17.25" thickTop="1" thickBot="1" x14ac:dyDescent="0.3">
      <c r="A24" s="169" t="s">
        <v>14</v>
      </c>
      <c r="B24" s="155"/>
      <c r="C24" s="223">
        <f>SUM(C18:C23)</f>
        <v>341407025.05000007</v>
      </c>
      <c r="D24" s="223">
        <f>SUM(D18:D23)</f>
        <v>33928296.270000003</v>
      </c>
      <c r="E24" s="223">
        <f>SUM(E18:E23)</f>
        <v>25960468.680000003</v>
      </c>
      <c r="F24" s="170">
        <f>(+D24-E24)/E24</f>
        <v>0.30692156171041818</v>
      </c>
      <c r="G24" s="236">
        <f>D24/C24</f>
        <v>9.9377850426572517E-2</v>
      </c>
      <c r="H24" s="237">
        <f>1-G24</f>
        <v>0.90062214957342746</v>
      </c>
      <c r="I24" s="157"/>
    </row>
    <row r="25" spans="1:9" ht="15.75" thickTop="1" x14ac:dyDescent="0.2">
      <c r="A25" s="171"/>
      <c r="B25" s="172"/>
      <c r="C25" s="227"/>
      <c r="D25" s="227"/>
      <c r="E25" s="227"/>
      <c r="F25" s="173"/>
      <c r="G25" s="243"/>
      <c r="H25" s="244"/>
      <c r="I25" s="157"/>
    </row>
    <row r="26" spans="1:9" ht="15.75" x14ac:dyDescent="0.25">
      <c r="A26" s="19" t="s">
        <v>64</v>
      </c>
      <c r="B26" s="165">
        <f>DATE(21,7,1)</f>
        <v>7853</v>
      </c>
      <c r="C26" s="226">
        <v>41344494.670000002</v>
      </c>
      <c r="D26" s="226">
        <v>4179858.95</v>
      </c>
      <c r="E26" s="226">
        <v>3105687.6</v>
      </c>
      <c r="F26" s="166">
        <f>(+D26-E26)/E26</f>
        <v>0.34587231181912825</v>
      </c>
      <c r="G26" s="241">
        <f>D26/C26</f>
        <v>0.10109831994229088</v>
      </c>
      <c r="H26" s="242">
        <f>1-G26</f>
        <v>0.8989016800577091</v>
      </c>
      <c r="I26" s="157"/>
    </row>
    <row r="27" spans="1:9" ht="15.75" x14ac:dyDescent="0.25">
      <c r="A27" s="19"/>
      <c r="B27" s="165">
        <f>DATE(21,8,1)</f>
        <v>7884</v>
      </c>
      <c r="C27" s="226">
        <v>34738721.109999999</v>
      </c>
      <c r="D27" s="226">
        <v>3554355.99</v>
      </c>
      <c r="E27" s="226">
        <v>3031801</v>
      </c>
      <c r="F27" s="166">
        <f>(+D27-E27)/E27</f>
        <v>0.17235794499704968</v>
      </c>
      <c r="G27" s="241">
        <f>D27/C27</f>
        <v>0.10231683482950188</v>
      </c>
      <c r="H27" s="242">
        <f>1-G27</f>
        <v>0.89768316517049818</v>
      </c>
      <c r="I27" s="157"/>
    </row>
    <row r="28" spans="1:9" ht="15.75" x14ac:dyDescent="0.25">
      <c r="A28" s="19"/>
      <c r="B28" s="165">
        <f>DATE(21,9,1)</f>
        <v>7915</v>
      </c>
      <c r="C28" s="226">
        <v>35864944.780000001</v>
      </c>
      <c r="D28" s="226">
        <v>3815155.29</v>
      </c>
      <c r="E28" s="226">
        <v>2818231.18</v>
      </c>
      <c r="F28" s="166">
        <f>(+D28-E28)/E28</f>
        <v>0.35374106889272294</v>
      </c>
      <c r="G28" s="241">
        <f>D28/C28</f>
        <v>0.10637560752993303</v>
      </c>
      <c r="H28" s="242">
        <f>1-G28</f>
        <v>0.89362439247006697</v>
      </c>
      <c r="I28" s="157"/>
    </row>
    <row r="29" spans="1:9" ht="15.75" x14ac:dyDescent="0.25">
      <c r="A29" s="19"/>
      <c r="B29" s="165">
        <f>DATE(21,10,1)</f>
        <v>7945</v>
      </c>
      <c r="C29" s="226">
        <v>35456144.609999999</v>
      </c>
      <c r="D29" s="226">
        <v>3758784.61</v>
      </c>
      <c r="E29" s="226">
        <v>2969140.93</v>
      </c>
      <c r="F29" s="166">
        <f>(+D29-E29)/E29</f>
        <v>0.26595021880621872</v>
      </c>
      <c r="G29" s="241">
        <f>D29/C29</f>
        <v>0.10601222020455878</v>
      </c>
      <c r="H29" s="242">
        <f>1-G29</f>
        <v>0.8939877797954412</v>
      </c>
      <c r="I29" s="157"/>
    </row>
    <row r="30" spans="1:9" ht="15.75" x14ac:dyDescent="0.25">
      <c r="A30" s="19"/>
      <c r="B30" s="165">
        <f>DATE(21,11,1)</f>
        <v>7976</v>
      </c>
      <c r="C30" s="226">
        <v>31753102.989999998</v>
      </c>
      <c r="D30" s="226">
        <v>3347078.48</v>
      </c>
      <c r="E30" s="226">
        <v>2745164.62</v>
      </c>
      <c r="F30" s="166">
        <f>(+D30-E30)/E30</f>
        <v>0.21926330232246685</v>
      </c>
      <c r="G30" s="241">
        <f>D30/C30</f>
        <v>0.10540949276844204</v>
      </c>
      <c r="H30" s="242">
        <f>1-G30</f>
        <v>0.89459050723155797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5"/>
      <c r="C32" s="228">
        <f>SUM(C26:C31)</f>
        <v>179157408.16000003</v>
      </c>
      <c r="D32" s="228">
        <f>SUM(D26:D31)</f>
        <v>18655233.32</v>
      </c>
      <c r="E32" s="228">
        <f>SUM(E26:E31)</f>
        <v>14670025.329999998</v>
      </c>
      <c r="F32" s="176">
        <f>(+D32-E32)/E32</f>
        <v>0.27165651731018536</v>
      </c>
      <c r="G32" s="245">
        <f>D32/C32</f>
        <v>0.10412761331833724</v>
      </c>
      <c r="H32" s="246">
        <f>1-G32</f>
        <v>0.8958723866816628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177" t="s">
        <v>59</v>
      </c>
      <c r="B34" s="165">
        <f>DATE(21,7,1)</f>
        <v>7853</v>
      </c>
      <c r="C34" s="226">
        <v>184241191.87</v>
      </c>
      <c r="D34" s="226">
        <v>16788708.57</v>
      </c>
      <c r="E34" s="226">
        <v>12870761.890000001</v>
      </c>
      <c r="F34" s="166">
        <f>(+D34-E34)/E34</f>
        <v>0.30440674091283337</v>
      </c>
      <c r="G34" s="241">
        <f>D34/C34</f>
        <v>9.1123534317157806E-2</v>
      </c>
      <c r="H34" s="242">
        <f>1-G34</f>
        <v>0.90887646568284219</v>
      </c>
      <c r="I34" s="157"/>
    </row>
    <row r="35" spans="1:9" ht="15.75" x14ac:dyDescent="0.25">
      <c r="A35" s="177"/>
      <c r="B35" s="165">
        <f>DATE(21,8,1)</f>
        <v>7884</v>
      </c>
      <c r="C35" s="226">
        <v>171470115.47</v>
      </c>
      <c r="D35" s="226">
        <v>15228470.93</v>
      </c>
      <c r="E35" s="226">
        <v>13070251.67</v>
      </c>
      <c r="F35" s="166">
        <f>(+D35-E35)/E35</f>
        <v>0.16512453734565311</v>
      </c>
      <c r="G35" s="241">
        <f>D35/C35</f>
        <v>8.8811224558044563E-2</v>
      </c>
      <c r="H35" s="242">
        <f>1-G35</f>
        <v>0.91118877544195542</v>
      </c>
      <c r="I35" s="157"/>
    </row>
    <row r="36" spans="1:9" ht="15.75" x14ac:dyDescent="0.25">
      <c r="A36" s="177"/>
      <c r="B36" s="165">
        <f>DATE(21,9,1)</f>
        <v>7915</v>
      </c>
      <c r="C36" s="226">
        <v>183696506.80000001</v>
      </c>
      <c r="D36" s="226">
        <v>16699713.119999999</v>
      </c>
      <c r="E36" s="226">
        <v>12783360.18</v>
      </c>
      <c r="F36" s="166">
        <f>(+D36-E36)/E36</f>
        <v>0.30636334147318062</v>
      </c>
      <c r="G36" s="241">
        <f>D36/C36</f>
        <v>9.0909257943493998E-2</v>
      </c>
      <c r="H36" s="242">
        <f>1-G36</f>
        <v>0.90909074205650597</v>
      </c>
      <c r="I36" s="157"/>
    </row>
    <row r="37" spans="1:9" ht="15.75" x14ac:dyDescent="0.25">
      <c r="A37" s="177"/>
      <c r="B37" s="165">
        <f>DATE(21,10,1)</f>
        <v>7945</v>
      </c>
      <c r="C37" s="226">
        <v>184731805.90000001</v>
      </c>
      <c r="D37" s="226">
        <v>16704308.949999999</v>
      </c>
      <c r="E37" s="226">
        <v>13822122.460000001</v>
      </c>
      <c r="F37" s="166">
        <f>(+D37-E37)/E37</f>
        <v>0.20851982018975673</v>
      </c>
      <c r="G37" s="241">
        <f>D37/C37</f>
        <v>9.0424650311936347E-2</v>
      </c>
      <c r="H37" s="242">
        <f>1-G37</f>
        <v>0.90957534968806364</v>
      </c>
      <c r="I37" s="157"/>
    </row>
    <row r="38" spans="1:9" ht="15.75" x14ac:dyDescent="0.25">
      <c r="A38" s="177"/>
      <c r="B38" s="165">
        <f>DATE(21,11,1)</f>
        <v>7976</v>
      </c>
      <c r="C38" s="226">
        <v>168594729.13</v>
      </c>
      <c r="D38" s="226">
        <v>15419780.210000001</v>
      </c>
      <c r="E38" s="226">
        <v>11508836.74</v>
      </c>
      <c r="F38" s="166">
        <f>(+D38-E38)/E38</f>
        <v>0.33982091833896327</v>
      </c>
      <c r="G38" s="241">
        <f>D38/C38</f>
        <v>9.146063040980433E-2</v>
      </c>
      <c r="H38" s="242">
        <f>1-G38</f>
        <v>0.90853936959019566</v>
      </c>
      <c r="I38" s="157"/>
    </row>
    <row r="39" spans="1:9" ht="15.75" thickBot="1" x14ac:dyDescent="0.25">
      <c r="A39" s="167"/>
      <c r="B39" s="168"/>
      <c r="C39" s="226"/>
      <c r="D39" s="226"/>
      <c r="E39" s="226"/>
      <c r="F39" s="166"/>
      <c r="G39" s="241"/>
      <c r="H39" s="242"/>
      <c r="I39" s="157"/>
    </row>
    <row r="40" spans="1:9" ht="17.25" thickTop="1" thickBot="1" x14ac:dyDescent="0.3">
      <c r="A40" s="174" t="s">
        <v>14</v>
      </c>
      <c r="B40" s="178"/>
      <c r="C40" s="228">
        <f>SUM(C34:C39)</f>
        <v>892734349.17000008</v>
      </c>
      <c r="D40" s="228">
        <f>SUM(D34:D39)</f>
        <v>80840981.780000001</v>
      </c>
      <c r="E40" s="228">
        <f>SUM(E34:E39)</f>
        <v>64055332.940000005</v>
      </c>
      <c r="F40" s="176">
        <f>(+D40-E40)/E40</f>
        <v>0.26204920136349846</v>
      </c>
      <c r="G40" s="245">
        <f>D40/C40</f>
        <v>9.0554353436898785E-2</v>
      </c>
      <c r="H40" s="246">
        <f>1-G40</f>
        <v>0.90944564656310123</v>
      </c>
      <c r="I40" s="157"/>
    </row>
    <row r="41" spans="1:9" ht="15.75" thickTop="1" x14ac:dyDescent="0.2">
      <c r="A41" s="167"/>
      <c r="B41" s="168"/>
      <c r="C41" s="226"/>
      <c r="D41" s="226"/>
      <c r="E41" s="226"/>
      <c r="F41" s="166"/>
      <c r="G41" s="241"/>
      <c r="H41" s="242"/>
      <c r="I41" s="157"/>
    </row>
    <row r="42" spans="1:9" ht="15.75" x14ac:dyDescent="0.25">
      <c r="A42" s="164" t="s">
        <v>62</v>
      </c>
      <c r="B42" s="165">
        <f>DATE(21,7,1)</f>
        <v>7853</v>
      </c>
      <c r="C42" s="226">
        <v>134033453.04000001</v>
      </c>
      <c r="D42" s="226">
        <v>12735420.67</v>
      </c>
      <c r="E42" s="226">
        <v>13388447.99</v>
      </c>
      <c r="F42" s="166">
        <f>(+D42-E42)/E42</f>
        <v>-4.8775430915349902E-2</v>
      </c>
      <c r="G42" s="241">
        <f>D42/C42</f>
        <v>9.5016731876625835E-2</v>
      </c>
      <c r="H42" s="242">
        <f>1-G42</f>
        <v>0.90498326812337415</v>
      </c>
      <c r="I42" s="157"/>
    </row>
    <row r="43" spans="1:9" ht="15.75" x14ac:dyDescent="0.25">
      <c r="A43" s="164"/>
      <c r="B43" s="165">
        <f>DATE(21,8,1)</f>
        <v>7884</v>
      </c>
      <c r="C43" s="226">
        <v>120007751.62</v>
      </c>
      <c r="D43" s="226">
        <v>11645905.550000001</v>
      </c>
      <c r="E43" s="226">
        <v>12503132.880000001</v>
      </c>
      <c r="F43" s="166">
        <f>(+D43-E43)/E43</f>
        <v>-6.8561002928411649E-2</v>
      </c>
      <c r="G43" s="241">
        <f>D43/C43</f>
        <v>9.7042944249770793E-2</v>
      </c>
      <c r="H43" s="242">
        <f>1-G43</f>
        <v>0.90295705575022922</v>
      </c>
      <c r="I43" s="157"/>
    </row>
    <row r="44" spans="1:9" ht="15.75" x14ac:dyDescent="0.25">
      <c r="A44" s="164"/>
      <c r="B44" s="165">
        <f>DATE(21,9,1)</f>
        <v>7915</v>
      </c>
      <c r="C44" s="226">
        <v>117022540.7</v>
      </c>
      <c r="D44" s="226">
        <v>11184280.18</v>
      </c>
      <c r="E44" s="226">
        <v>11218535.91</v>
      </c>
      <c r="F44" s="166">
        <f>(+D44-E44)/E44</f>
        <v>-3.053493813703935E-3</v>
      </c>
      <c r="G44" s="241">
        <f>D44/C44</f>
        <v>9.5573725481419153E-2</v>
      </c>
      <c r="H44" s="242">
        <f>1-G44</f>
        <v>0.90442627451858082</v>
      </c>
      <c r="I44" s="157"/>
    </row>
    <row r="45" spans="1:9" ht="15.75" x14ac:dyDescent="0.25">
      <c r="A45" s="164"/>
      <c r="B45" s="165">
        <f>DATE(21,10,1)</f>
        <v>7945</v>
      </c>
      <c r="C45" s="226">
        <v>120771341.03</v>
      </c>
      <c r="D45" s="226">
        <v>11396005.27</v>
      </c>
      <c r="E45" s="226">
        <v>11439504.380000001</v>
      </c>
      <c r="F45" s="166">
        <f>(+D45-E45)/E45</f>
        <v>-3.8025344940688125E-3</v>
      </c>
      <c r="G45" s="241">
        <f>D45/C45</f>
        <v>9.436017827415856E-2</v>
      </c>
      <c r="H45" s="242">
        <f>1-G45</f>
        <v>0.90563982172584145</v>
      </c>
      <c r="I45" s="157"/>
    </row>
    <row r="46" spans="1:9" ht="15.75" x14ac:dyDescent="0.25">
      <c r="A46" s="164"/>
      <c r="B46" s="165">
        <f>DATE(21,11,1)</f>
        <v>7976</v>
      </c>
      <c r="C46" s="226">
        <v>113934737.93000001</v>
      </c>
      <c r="D46" s="226">
        <v>11134846.92</v>
      </c>
      <c r="E46" s="226">
        <v>10067796.140000001</v>
      </c>
      <c r="F46" s="166">
        <f>(+D46-E46)/E46</f>
        <v>0.10598653023580186</v>
      </c>
      <c r="G46" s="241">
        <f>D46/C46</f>
        <v>9.7730043727674187E-2</v>
      </c>
      <c r="H46" s="242">
        <f>1-G46</f>
        <v>0.90226995627232576</v>
      </c>
      <c r="I46" s="157"/>
    </row>
    <row r="47" spans="1:9" ht="15.75" thickBot="1" x14ac:dyDescent="0.25">
      <c r="A47" s="167"/>
      <c r="B47" s="165"/>
      <c r="C47" s="226"/>
      <c r="D47" s="226"/>
      <c r="E47" s="226"/>
      <c r="F47" s="166"/>
      <c r="G47" s="241"/>
      <c r="H47" s="242"/>
      <c r="I47" s="157"/>
    </row>
    <row r="48" spans="1:9" ht="17.25" thickTop="1" thickBot="1" x14ac:dyDescent="0.3">
      <c r="A48" s="174" t="s">
        <v>14</v>
      </c>
      <c r="B48" s="175"/>
      <c r="C48" s="228">
        <f>SUM(C42:C47)</f>
        <v>605769824.31999993</v>
      </c>
      <c r="D48" s="230">
        <f>SUM(D42:D47)</f>
        <v>58096458.590000004</v>
      </c>
      <c r="E48" s="271">
        <f>SUM(E42:E47)</f>
        <v>58617417.300000004</v>
      </c>
      <c r="F48" s="272">
        <f>(+D48-E48)/E48</f>
        <v>-8.8874388193149016E-3</v>
      </c>
      <c r="G48" s="249">
        <f>D48/C48</f>
        <v>9.5905171003219783E-2</v>
      </c>
      <c r="H48" s="270">
        <f>1-G48</f>
        <v>0.90409482899678018</v>
      </c>
      <c r="I48" s="157"/>
    </row>
    <row r="49" spans="1:9" ht="15.75" thickTop="1" x14ac:dyDescent="0.2">
      <c r="A49" s="167"/>
      <c r="B49" s="168"/>
      <c r="C49" s="226"/>
      <c r="D49" s="226"/>
      <c r="E49" s="226"/>
      <c r="F49" s="166"/>
      <c r="G49" s="241"/>
      <c r="H49" s="242"/>
      <c r="I49" s="157"/>
    </row>
    <row r="50" spans="1:9" ht="15.75" x14ac:dyDescent="0.25">
      <c r="A50" s="164" t="s">
        <v>66</v>
      </c>
      <c r="B50" s="165">
        <f>DATE(21,7,1)</f>
        <v>7853</v>
      </c>
      <c r="C50" s="226">
        <v>55925733.850000001</v>
      </c>
      <c r="D50" s="226">
        <v>5744094.3399999999</v>
      </c>
      <c r="E50" s="226">
        <v>4434379.57</v>
      </c>
      <c r="F50" s="166">
        <f>(+D50-E50)/E50</f>
        <v>0.29535468250409591</v>
      </c>
      <c r="G50" s="241">
        <f>D50/C50</f>
        <v>0.10270932439449786</v>
      </c>
      <c r="H50" s="242">
        <f>1-G50</f>
        <v>0.89729067560550213</v>
      </c>
      <c r="I50" s="157"/>
    </row>
    <row r="51" spans="1:9" ht="15.75" x14ac:dyDescent="0.25">
      <c r="A51" s="164"/>
      <c r="B51" s="165">
        <f>DATE(21,8,1)</f>
        <v>7884</v>
      </c>
      <c r="C51" s="226">
        <v>50658517.549999997</v>
      </c>
      <c r="D51" s="226">
        <v>5022432.17</v>
      </c>
      <c r="E51" s="226">
        <v>4333573.3</v>
      </c>
      <c r="F51" s="166">
        <f>(+D51-E51)/E51</f>
        <v>0.15895862889869664</v>
      </c>
      <c r="G51" s="241">
        <f>D51/C51</f>
        <v>9.9142896651937262E-2</v>
      </c>
      <c r="H51" s="242">
        <f>1-G51</f>
        <v>0.90085710334806279</v>
      </c>
      <c r="I51" s="157"/>
    </row>
    <row r="52" spans="1:9" ht="15.75" x14ac:dyDescent="0.25">
      <c r="A52" s="164"/>
      <c r="B52" s="165">
        <f>DATE(21,9,1)</f>
        <v>7915</v>
      </c>
      <c r="C52" s="226">
        <v>50731057.32</v>
      </c>
      <c r="D52" s="226">
        <v>5281548.16</v>
      </c>
      <c r="E52" s="226">
        <v>4417017.5599999996</v>
      </c>
      <c r="F52" s="166">
        <f>(+D52-E52)/E52</f>
        <v>0.19572722731036654</v>
      </c>
      <c r="G52" s="241">
        <f>D52/C52</f>
        <v>0.10410877357996291</v>
      </c>
      <c r="H52" s="242">
        <f>1-G52</f>
        <v>0.89589122642003705</v>
      </c>
      <c r="I52" s="157"/>
    </row>
    <row r="53" spans="1:9" ht="15.75" x14ac:dyDescent="0.25">
      <c r="A53" s="164"/>
      <c r="B53" s="165">
        <f>DATE(21,10,1)</f>
        <v>7945</v>
      </c>
      <c r="C53" s="226">
        <v>50383468.32</v>
      </c>
      <c r="D53" s="226">
        <v>5329338.8099999996</v>
      </c>
      <c r="E53" s="226">
        <v>4440838.8899999997</v>
      </c>
      <c r="F53" s="166">
        <f>(+D53-E53)/E53</f>
        <v>0.20007479262549874</v>
      </c>
      <c r="G53" s="241">
        <f>D53/C53</f>
        <v>0.10577554479083943</v>
      </c>
      <c r="H53" s="242">
        <f>1-G53</f>
        <v>0.89422445520916061</v>
      </c>
      <c r="I53" s="157"/>
    </row>
    <row r="54" spans="1:9" ht="15.75" x14ac:dyDescent="0.25">
      <c r="A54" s="164"/>
      <c r="B54" s="165">
        <f>DATE(21,11,1)</f>
        <v>7976</v>
      </c>
      <c r="C54" s="226">
        <v>48521452.539999999</v>
      </c>
      <c r="D54" s="226">
        <v>4979381.55</v>
      </c>
      <c r="E54" s="226">
        <v>4093288.05</v>
      </c>
      <c r="F54" s="166">
        <f>(+D54-E54)/E54</f>
        <v>0.21647474821616819</v>
      </c>
      <c r="G54" s="241">
        <f>D54/C54</f>
        <v>0.10262226890044376</v>
      </c>
      <c r="H54" s="242">
        <f>1-G54</f>
        <v>0.89737773109955621</v>
      </c>
      <c r="I54" s="157"/>
    </row>
    <row r="55" spans="1:9" ht="15.75" thickBot="1" x14ac:dyDescent="0.25">
      <c r="A55" s="167"/>
      <c r="B55" s="165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SUM(C50:C55)</f>
        <v>256220229.57999998</v>
      </c>
      <c r="D56" s="230">
        <f>SUM(D50:D55)</f>
        <v>26356795.030000001</v>
      </c>
      <c r="E56" s="271">
        <f>SUM(E50:E55)</f>
        <v>21719097.370000001</v>
      </c>
      <c r="F56" s="272">
        <f>(+D56-E56)/E56</f>
        <v>0.21353086553246572</v>
      </c>
      <c r="G56" s="249">
        <f>D56/C56</f>
        <v>0.10286773637352699</v>
      </c>
      <c r="H56" s="270">
        <f>1-G56</f>
        <v>0.89713226362647303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290" t="s">
        <v>70</v>
      </c>
      <c r="B58" s="165">
        <f>DATE(21,7,1)</f>
        <v>7853</v>
      </c>
      <c r="C58" s="226">
        <v>75548562.819999993</v>
      </c>
      <c r="D58" s="226">
        <v>8446672.5700000003</v>
      </c>
      <c r="E58" s="226">
        <v>4303428.05</v>
      </c>
      <c r="F58" s="166">
        <f>(+D58-E58)/E58</f>
        <v>0.96277769068312891</v>
      </c>
      <c r="G58" s="241">
        <f>D58/C58</f>
        <v>0.11180454339184213</v>
      </c>
      <c r="H58" s="242">
        <f>1-G58</f>
        <v>0.88819545660815791</v>
      </c>
      <c r="I58" s="157"/>
    </row>
    <row r="59" spans="1:9" ht="15.75" x14ac:dyDescent="0.25">
      <c r="A59" s="290"/>
      <c r="B59" s="165">
        <f>DATE(21,8,1)</f>
        <v>7884</v>
      </c>
      <c r="C59" s="226">
        <v>78426771.269999996</v>
      </c>
      <c r="D59" s="226">
        <v>8803736.4399999995</v>
      </c>
      <c r="E59" s="226">
        <v>4134795.6</v>
      </c>
      <c r="F59" s="166">
        <f>(+D59-E59)/E59</f>
        <v>1.1291829854902622</v>
      </c>
      <c r="G59" s="241">
        <f>D59/C59</f>
        <v>0.11225422515089088</v>
      </c>
      <c r="H59" s="242">
        <f>1-G59</f>
        <v>0.8877457748491091</v>
      </c>
      <c r="I59" s="157"/>
    </row>
    <row r="60" spans="1:9" ht="15.75" x14ac:dyDescent="0.25">
      <c r="A60" s="290"/>
      <c r="B60" s="165">
        <f>DATE(21,9,1)</f>
        <v>7915</v>
      </c>
      <c r="C60" s="226">
        <v>81538936.450000003</v>
      </c>
      <c r="D60" s="226">
        <v>8914995.2300000004</v>
      </c>
      <c r="E60" s="226">
        <v>5078159.95</v>
      </c>
      <c r="F60" s="166">
        <f>(+D60-E60)/E60</f>
        <v>0.75555620889806752</v>
      </c>
      <c r="G60" s="241">
        <f>D60/C60</f>
        <v>0.1093342103556466</v>
      </c>
      <c r="H60" s="242">
        <f>1-G60</f>
        <v>0.89066578964435339</v>
      </c>
      <c r="I60" s="157"/>
    </row>
    <row r="61" spans="1:9" ht="15.75" x14ac:dyDescent="0.25">
      <c r="A61" s="290"/>
      <c r="B61" s="165">
        <f>DATE(21,10,1)</f>
        <v>7945</v>
      </c>
      <c r="C61" s="226">
        <v>82353659.939999998</v>
      </c>
      <c r="D61" s="226">
        <v>9230867.6699999999</v>
      </c>
      <c r="E61" s="226">
        <v>5823943.8200000003</v>
      </c>
      <c r="F61" s="166">
        <f>(+D61-E61)/E61</f>
        <v>0.5849856996044992</v>
      </c>
      <c r="G61" s="241">
        <f>D61/C61</f>
        <v>0.11208812913385134</v>
      </c>
      <c r="H61" s="242">
        <f>1-G61</f>
        <v>0.88791187086614864</v>
      </c>
      <c r="I61" s="157"/>
    </row>
    <row r="62" spans="1:9" ht="15.75" x14ac:dyDescent="0.25">
      <c r="A62" s="290"/>
      <c r="B62" s="165">
        <f>DATE(21,11,1)</f>
        <v>7976</v>
      </c>
      <c r="C62" s="226">
        <v>77184349.209999993</v>
      </c>
      <c r="D62" s="226">
        <v>8512217.6799999997</v>
      </c>
      <c r="E62" s="226">
        <v>5498815.8099999996</v>
      </c>
      <c r="F62" s="166">
        <f>(+D62-E62)/E62</f>
        <v>0.5480092394656878</v>
      </c>
      <c r="G62" s="241">
        <f>D62/C62</f>
        <v>0.11028424502019586</v>
      </c>
      <c r="H62" s="242">
        <f>1-G62</f>
        <v>0.88971575497980415</v>
      </c>
      <c r="I62" s="157"/>
    </row>
    <row r="63" spans="1:9" ht="15.75" thickBot="1" x14ac:dyDescent="0.25">
      <c r="A63" s="167"/>
      <c r="B63" s="165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5"/>
      <c r="C64" s="228">
        <f>SUM(C58:C63)</f>
        <v>395052279.68999994</v>
      </c>
      <c r="D64" s="230">
        <f>SUM(D58:D63)</f>
        <v>43908489.589999996</v>
      </c>
      <c r="E64" s="271">
        <f>SUM(E58:E63)</f>
        <v>24839143.23</v>
      </c>
      <c r="F64" s="272">
        <f>(+D64-E64)/E64</f>
        <v>0.7677135311562836</v>
      </c>
      <c r="G64" s="249">
        <f>D64/C64</f>
        <v>0.11114602255796441</v>
      </c>
      <c r="H64" s="270">
        <f>1-G64</f>
        <v>0.88885397744203565</v>
      </c>
      <c r="I64" s="157"/>
    </row>
    <row r="65" spans="1:9" ht="15.75" thickTop="1" x14ac:dyDescent="0.2">
      <c r="A65" s="167"/>
      <c r="B65" s="168"/>
      <c r="C65" s="226"/>
      <c r="D65" s="226"/>
      <c r="E65" s="226"/>
      <c r="F65" s="166"/>
      <c r="G65" s="241"/>
      <c r="H65" s="242"/>
      <c r="I65" s="157"/>
    </row>
    <row r="66" spans="1:9" ht="15.75" x14ac:dyDescent="0.25">
      <c r="A66" s="164" t="s">
        <v>60</v>
      </c>
      <c r="B66" s="165">
        <f>DATE(21,7,1)</f>
        <v>7853</v>
      </c>
      <c r="C66" s="226">
        <v>132221883.15000001</v>
      </c>
      <c r="D66" s="226">
        <v>13534455.82</v>
      </c>
      <c r="E66" s="226">
        <v>10751795.77</v>
      </c>
      <c r="F66" s="166">
        <f>(+D66-E66)/E66</f>
        <v>0.25880886407499171</v>
      </c>
      <c r="G66" s="241">
        <f>D66/C66</f>
        <v>0.10236169306895854</v>
      </c>
      <c r="H66" s="242">
        <f>1-G66</f>
        <v>0.89763830693104141</v>
      </c>
      <c r="I66" s="157"/>
    </row>
    <row r="67" spans="1:9" ht="15.75" x14ac:dyDescent="0.25">
      <c r="A67" s="164"/>
      <c r="B67" s="165">
        <f>DATE(21,8,1)</f>
        <v>7884</v>
      </c>
      <c r="C67" s="226">
        <v>113338502.33</v>
      </c>
      <c r="D67" s="226">
        <v>11799607.16</v>
      </c>
      <c r="E67" s="226">
        <v>11312353.68</v>
      </c>
      <c r="F67" s="166">
        <f>(+D67-E67)/E67</f>
        <v>4.3072687946581284E-2</v>
      </c>
      <c r="G67" s="241">
        <f>D67/C67</f>
        <v>0.104109432517856</v>
      </c>
      <c r="H67" s="242">
        <f>1-G67</f>
        <v>0.89589056748214402</v>
      </c>
      <c r="I67" s="157"/>
    </row>
    <row r="68" spans="1:9" ht="15.75" x14ac:dyDescent="0.25">
      <c r="A68" s="164"/>
      <c r="B68" s="165">
        <f>DATE(21,9,1)</f>
        <v>7915</v>
      </c>
      <c r="C68" s="226">
        <v>111073381.84999999</v>
      </c>
      <c r="D68" s="226">
        <v>11262305.48</v>
      </c>
      <c r="E68" s="226">
        <v>10956999.039999999</v>
      </c>
      <c r="F68" s="166">
        <f>(+D68-E68)/E68</f>
        <v>2.7864056470703256E-2</v>
      </c>
      <c r="G68" s="241">
        <f>D68/C68</f>
        <v>0.10139517940679323</v>
      </c>
      <c r="H68" s="242">
        <f>1-G68</f>
        <v>0.89860482059320679</v>
      </c>
      <c r="I68" s="157"/>
    </row>
    <row r="69" spans="1:9" ht="15.75" x14ac:dyDescent="0.25">
      <c r="A69" s="164"/>
      <c r="B69" s="165">
        <f>DATE(21,10,1)</f>
        <v>7945</v>
      </c>
      <c r="C69" s="226">
        <v>116016618.26000001</v>
      </c>
      <c r="D69" s="226">
        <v>11850584.039999999</v>
      </c>
      <c r="E69" s="226">
        <v>10410650.699999999</v>
      </c>
      <c r="F69" s="166">
        <f>(+D69-E69)/E69</f>
        <v>0.13831348121208215</v>
      </c>
      <c r="G69" s="241">
        <f>D69/C69</f>
        <v>0.10214557377842327</v>
      </c>
      <c r="H69" s="242">
        <f>1-G69</f>
        <v>0.89785442622157674</v>
      </c>
      <c r="I69" s="157"/>
    </row>
    <row r="70" spans="1:9" ht="15.75" x14ac:dyDescent="0.25">
      <c r="A70" s="164"/>
      <c r="B70" s="165">
        <f>DATE(21,11,1)</f>
        <v>7976</v>
      </c>
      <c r="C70" s="226">
        <v>102366140.34999999</v>
      </c>
      <c r="D70" s="226">
        <v>10537202.82</v>
      </c>
      <c r="E70" s="226">
        <v>9890840.5199999996</v>
      </c>
      <c r="F70" s="166">
        <f>(+D70-E70)/E70</f>
        <v>6.5349582645985352E-2</v>
      </c>
      <c r="G70" s="241">
        <f>D70/C70</f>
        <v>0.10293640830817942</v>
      </c>
      <c r="H70" s="242">
        <f>1-G70</f>
        <v>0.89706359169182059</v>
      </c>
      <c r="I70" s="157"/>
    </row>
    <row r="71" spans="1:9" ht="15.75" thickBot="1" x14ac:dyDescent="0.25">
      <c r="A71" s="167"/>
      <c r="B71" s="165"/>
      <c r="C71" s="226"/>
      <c r="D71" s="226"/>
      <c r="E71" s="226"/>
      <c r="F71" s="166"/>
      <c r="G71" s="241"/>
      <c r="H71" s="242"/>
      <c r="I71" s="157"/>
    </row>
    <row r="72" spans="1:9" ht="17.25" thickTop="1" thickBot="1" x14ac:dyDescent="0.3">
      <c r="A72" s="174" t="s">
        <v>14</v>
      </c>
      <c r="B72" s="175"/>
      <c r="C72" s="228">
        <f>SUM(C66:C71)</f>
        <v>575016525.94000006</v>
      </c>
      <c r="D72" s="230">
        <f>SUM(D66:D71)</f>
        <v>58984155.32</v>
      </c>
      <c r="E72" s="271">
        <f>SUM(E66:E71)</f>
        <v>53322639.709999993</v>
      </c>
      <c r="F72" s="176">
        <f>(+D72-E72)/E72</f>
        <v>0.10617470629343694</v>
      </c>
      <c r="G72" s="249">
        <f>D72/C72</f>
        <v>0.10257819151123786</v>
      </c>
      <c r="H72" s="270">
        <f>1-G72</f>
        <v>0.89742180848876218</v>
      </c>
      <c r="I72" s="157"/>
    </row>
    <row r="73" spans="1:9" ht="15.75" thickTop="1" x14ac:dyDescent="0.2">
      <c r="A73" s="167"/>
      <c r="B73" s="179"/>
      <c r="C73" s="229"/>
      <c r="D73" s="229"/>
      <c r="E73" s="229"/>
      <c r="F73" s="180"/>
      <c r="G73" s="247"/>
      <c r="H73" s="248"/>
      <c r="I73" s="157"/>
    </row>
    <row r="74" spans="1:9" ht="15.75" x14ac:dyDescent="0.25">
      <c r="A74" s="164" t="s">
        <v>16</v>
      </c>
      <c r="B74" s="165">
        <f>DATE(21,7,1)</f>
        <v>7853</v>
      </c>
      <c r="C74" s="226">
        <v>163880399.77000001</v>
      </c>
      <c r="D74" s="226">
        <v>16148799.359999999</v>
      </c>
      <c r="E74" s="226">
        <v>12124639.109999999</v>
      </c>
      <c r="F74" s="166">
        <f>(+D74-E74)/E74</f>
        <v>0.33189938384895978</v>
      </c>
      <c r="G74" s="241">
        <f>D74/C74</f>
        <v>9.854015112645706E-2</v>
      </c>
      <c r="H74" s="242">
        <f>1-G74</f>
        <v>0.90145984887354291</v>
      </c>
      <c r="I74" s="157"/>
    </row>
    <row r="75" spans="1:9" ht="15.75" x14ac:dyDescent="0.25">
      <c r="A75" s="164"/>
      <c r="B75" s="165">
        <f>DATE(21,8,1)</f>
        <v>7884</v>
      </c>
      <c r="C75" s="226">
        <v>145844596.15000001</v>
      </c>
      <c r="D75" s="226">
        <v>14007269.199999999</v>
      </c>
      <c r="E75" s="226">
        <v>12772714.18</v>
      </c>
      <c r="F75" s="166">
        <f>(+D75-E75)/E75</f>
        <v>9.6655652244462861E-2</v>
      </c>
      <c r="G75" s="241">
        <f>D75/C75</f>
        <v>9.6042428514757139E-2</v>
      </c>
      <c r="H75" s="242">
        <f>1-G75</f>
        <v>0.90395757148524281</v>
      </c>
      <c r="I75" s="157"/>
    </row>
    <row r="76" spans="1:9" ht="15.75" x14ac:dyDescent="0.25">
      <c r="A76" s="164"/>
      <c r="B76" s="165">
        <f>DATE(21,9,1)</f>
        <v>7915</v>
      </c>
      <c r="C76" s="226">
        <v>143094986.72999999</v>
      </c>
      <c r="D76" s="226">
        <v>13534117.949999999</v>
      </c>
      <c r="E76" s="226">
        <v>12144964.720000001</v>
      </c>
      <c r="F76" s="166">
        <f>(+D76-E76)/E76</f>
        <v>0.11438100167655312</v>
      </c>
      <c r="G76" s="241">
        <f>D76/C76</f>
        <v>9.4581356477127787E-2</v>
      </c>
      <c r="H76" s="242">
        <f>1-G76</f>
        <v>0.90541864352287216</v>
      </c>
      <c r="I76" s="157"/>
    </row>
    <row r="77" spans="1:9" ht="15.75" x14ac:dyDescent="0.25">
      <c r="A77" s="164"/>
      <c r="B77" s="165">
        <f>DATE(21,10,1)</f>
        <v>7945</v>
      </c>
      <c r="C77" s="226">
        <v>155067360.19</v>
      </c>
      <c r="D77" s="226">
        <v>14717532.77</v>
      </c>
      <c r="E77" s="226">
        <v>12789406.33</v>
      </c>
      <c r="F77" s="166">
        <f>(+D77-E77)/E77</f>
        <v>0.15075965140596165</v>
      </c>
      <c r="G77" s="241">
        <f>D77/C77</f>
        <v>9.4910577906059598E-2</v>
      </c>
      <c r="H77" s="242">
        <f>1-G77</f>
        <v>0.90508942209394039</v>
      </c>
      <c r="I77" s="157"/>
    </row>
    <row r="78" spans="1:9" ht="15.75" x14ac:dyDescent="0.25">
      <c r="A78" s="164"/>
      <c r="B78" s="165">
        <f>DATE(21,11,1)</f>
        <v>7976</v>
      </c>
      <c r="C78" s="226">
        <v>143453865.59</v>
      </c>
      <c r="D78" s="226">
        <v>13811206.33</v>
      </c>
      <c r="E78" s="226">
        <v>11020143.83</v>
      </c>
      <c r="F78" s="166">
        <f>(+D78-E78)/E78</f>
        <v>0.25326915356602925</v>
      </c>
      <c r="G78" s="241">
        <f>D78/C78</f>
        <v>9.6276292543229752E-2</v>
      </c>
      <c r="H78" s="242">
        <f>1-G78</f>
        <v>0.90372370745677022</v>
      </c>
      <c r="I78" s="157"/>
    </row>
    <row r="79" spans="1:9" ht="15.75" customHeight="1" thickBot="1" x14ac:dyDescent="0.3">
      <c r="A79" s="164"/>
      <c r="B79" s="165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81"/>
      <c r="C80" s="228">
        <f>SUM(C74:C79)</f>
        <v>751341208.42999995</v>
      </c>
      <c r="D80" s="228">
        <f>SUM(D74:D79)</f>
        <v>72218925.609999999</v>
      </c>
      <c r="E80" s="228">
        <f>SUM(E74:E79)</f>
        <v>60851868.169999994</v>
      </c>
      <c r="F80" s="176">
        <f>(+D80-E80)/E80</f>
        <v>0.18679882445423379</v>
      </c>
      <c r="G80" s="245">
        <f>D80/C80</f>
        <v>9.6120011520342968E-2</v>
      </c>
      <c r="H80" s="246">
        <f>1-G80</f>
        <v>0.903879988479657</v>
      </c>
      <c r="I80" s="157"/>
    </row>
    <row r="81" spans="1:9" ht="15.75" thickTop="1" x14ac:dyDescent="0.2">
      <c r="A81" s="171"/>
      <c r="B81" s="172"/>
      <c r="C81" s="227"/>
      <c r="D81" s="227"/>
      <c r="E81" s="227"/>
      <c r="F81" s="173"/>
      <c r="G81" s="243"/>
      <c r="H81" s="244"/>
      <c r="I81" s="157"/>
    </row>
    <row r="82" spans="1:9" ht="15.75" x14ac:dyDescent="0.25">
      <c r="A82" s="164" t="s">
        <v>54</v>
      </c>
      <c r="B82" s="165">
        <f>DATE(21,7,1)</f>
        <v>7853</v>
      </c>
      <c r="C82" s="226">
        <v>200357166.28999999</v>
      </c>
      <c r="D82" s="226">
        <v>17635283.719999999</v>
      </c>
      <c r="E82" s="226">
        <v>13113665.15</v>
      </c>
      <c r="F82" s="166">
        <f>(+D82-E82)/E82</f>
        <v>0.34480204567370687</v>
      </c>
      <c r="G82" s="241">
        <f>D82/C82</f>
        <v>8.80192310889166E-2</v>
      </c>
      <c r="H82" s="242">
        <f>1-G82</f>
        <v>0.91198076891108337</v>
      </c>
      <c r="I82" s="157"/>
    </row>
    <row r="83" spans="1:9" ht="15.75" x14ac:dyDescent="0.25">
      <c r="A83" s="164"/>
      <c r="B83" s="165">
        <f>DATE(21,8,1)</f>
        <v>7884</v>
      </c>
      <c r="C83" s="226">
        <v>187880345.88999999</v>
      </c>
      <c r="D83" s="226">
        <v>17152915.09</v>
      </c>
      <c r="E83" s="226">
        <v>13163225.939999999</v>
      </c>
      <c r="F83" s="166">
        <f>(+D83-E83)/E83</f>
        <v>0.30309357054156899</v>
      </c>
      <c r="G83" s="241">
        <f>D83/C83</f>
        <v>9.1297016772806411E-2</v>
      </c>
      <c r="H83" s="242">
        <f>1-G83</f>
        <v>0.90870298322719356</v>
      </c>
      <c r="I83" s="157"/>
    </row>
    <row r="84" spans="1:9" ht="15.75" x14ac:dyDescent="0.25">
      <c r="A84" s="164"/>
      <c r="B84" s="165">
        <f>DATE(21,9,1)</f>
        <v>7915</v>
      </c>
      <c r="C84" s="226">
        <v>188989871.88999999</v>
      </c>
      <c r="D84" s="226">
        <v>16762718.67</v>
      </c>
      <c r="E84" s="226">
        <v>13632742.51</v>
      </c>
      <c r="F84" s="166">
        <f>(+D84-E84)/E84</f>
        <v>0.22959255320080127</v>
      </c>
      <c r="G84" s="241">
        <f>D84/C84</f>
        <v>8.869638622622382E-2</v>
      </c>
      <c r="H84" s="242">
        <f>1-G84</f>
        <v>0.91130361377377622</v>
      </c>
      <c r="I84" s="157"/>
    </row>
    <row r="85" spans="1:9" ht="15.75" x14ac:dyDescent="0.25">
      <c r="A85" s="164"/>
      <c r="B85" s="165">
        <f>DATE(21,10,1)</f>
        <v>7945</v>
      </c>
      <c r="C85" s="226">
        <v>196390014.61000001</v>
      </c>
      <c r="D85" s="226">
        <v>18368300.02</v>
      </c>
      <c r="E85" s="226">
        <v>14284849.609999999</v>
      </c>
      <c r="F85" s="166">
        <f>(+D85-E85)/E85</f>
        <v>0.2858588309632194</v>
      </c>
      <c r="G85" s="241">
        <f>D85/C85</f>
        <v>9.3529704432664673E-2</v>
      </c>
      <c r="H85" s="242">
        <f>1-G85</f>
        <v>0.90647029556733538</v>
      </c>
      <c r="I85" s="157"/>
    </row>
    <row r="86" spans="1:9" ht="15.75" x14ac:dyDescent="0.25">
      <c r="A86" s="164"/>
      <c r="B86" s="165">
        <f>DATE(21,11,1)</f>
        <v>7976</v>
      </c>
      <c r="C86" s="226">
        <v>186554423.28999999</v>
      </c>
      <c r="D86" s="226">
        <v>17099113.550000001</v>
      </c>
      <c r="E86" s="226">
        <v>12348288.83</v>
      </c>
      <c r="F86" s="166">
        <f>(+D86-E86)/E86</f>
        <v>0.38473547107660266</v>
      </c>
      <c r="G86" s="241">
        <f>D86/C86</f>
        <v>9.1657508026059098E-2</v>
      </c>
      <c r="H86" s="242">
        <f>1-G86</f>
        <v>0.9083424919739409</v>
      </c>
      <c r="I86" s="157"/>
    </row>
    <row r="87" spans="1:9" ht="15.75" thickBot="1" x14ac:dyDescent="0.25">
      <c r="A87" s="167"/>
      <c r="B87" s="168"/>
      <c r="C87" s="226"/>
      <c r="D87" s="226"/>
      <c r="E87" s="226"/>
      <c r="F87" s="166"/>
      <c r="G87" s="241"/>
      <c r="H87" s="242"/>
      <c r="I87" s="157"/>
    </row>
    <row r="88" spans="1:9" ht="17.25" thickTop="1" thickBot="1" x14ac:dyDescent="0.3">
      <c r="A88" s="174" t="s">
        <v>14</v>
      </c>
      <c r="B88" s="175"/>
      <c r="C88" s="228">
        <f>SUM(C82:C87)</f>
        <v>960171821.96999991</v>
      </c>
      <c r="D88" s="228">
        <f>SUM(D82:D87)</f>
        <v>87018331.049999997</v>
      </c>
      <c r="E88" s="228">
        <f>SUM(E82:E87)</f>
        <v>66542772.039999999</v>
      </c>
      <c r="F88" s="176">
        <f>(+D88-E88)/E88</f>
        <v>0.30770523051987958</v>
      </c>
      <c r="G88" s="249">
        <f>D88/C88</f>
        <v>9.062787415638078E-2</v>
      </c>
      <c r="H88" s="270">
        <f>1-G88</f>
        <v>0.90937212584361926</v>
      </c>
      <c r="I88" s="157"/>
    </row>
    <row r="89" spans="1:9" ht="15.75" thickTop="1" x14ac:dyDescent="0.2">
      <c r="A89" s="167"/>
      <c r="B89" s="168"/>
      <c r="C89" s="226"/>
      <c r="D89" s="226"/>
      <c r="E89" s="226"/>
      <c r="F89" s="166"/>
      <c r="G89" s="241"/>
      <c r="H89" s="242"/>
      <c r="I89" s="157"/>
    </row>
    <row r="90" spans="1:9" ht="15.75" x14ac:dyDescent="0.25">
      <c r="A90" s="164" t="s">
        <v>55</v>
      </c>
      <c r="B90" s="165">
        <f>DATE(21,7,1)</f>
        <v>7853</v>
      </c>
      <c r="C90" s="226">
        <v>32852563.390000001</v>
      </c>
      <c r="D90" s="226">
        <v>3540868.12</v>
      </c>
      <c r="E90" s="226">
        <v>2784731.95</v>
      </c>
      <c r="F90" s="166">
        <f>(+D90-E90)/E90</f>
        <v>0.27152924718660976</v>
      </c>
      <c r="G90" s="241">
        <f>D90/C90</f>
        <v>0.10778057340505143</v>
      </c>
      <c r="H90" s="242">
        <f>1-G90</f>
        <v>0.89221942659494857</v>
      </c>
      <c r="I90" s="157"/>
    </row>
    <row r="91" spans="1:9" ht="15.75" x14ac:dyDescent="0.25">
      <c r="A91" s="164"/>
      <c r="B91" s="165">
        <f>DATE(21,8,1)</f>
        <v>7884</v>
      </c>
      <c r="C91" s="226">
        <v>29251271.52</v>
      </c>
      <c r="D91" s="226">
        <v>3115295.59</v>
      </c>
      <c r="E91" s="226">
        <v>2961173.82</v>
      </c>
      <c r="F91" s="166">
        <f>(+D91-E91)/E91</f>
        <v>5.2047525531615034E-2</v>
      </c>
      <c r="G91" s="241">
        <f>D91/C91</f>
        <v>0.10650120244755773</v>
      </c>
      <c r="H91" s="242">
        <f>1-G91</f>
        <v>0.89349879755244221</v>
      </c>
      <c r="I91" s="157"/>
    </row>
    <row r="92" spans="1:9" ht="15.75" x14ac:dyDescent="0.25">
      <c r="A92" s="164"/>
      <c r="B92" s="165">
        <f>DATE(21,9,1)</f>
        <v>7915</v>
      </c>
      <c r="C92" s="226">
        <v>28714079.039999999</v>
      </c>
      <c r="D92" s="226">
        <v>3042841.65</v>
      </c>
      <c r="E92" s="226">
        <v>2707604.99</v>
      </c>
      <c r="F92" s="166">
        <f>(+D92-E92)/E92</f>
        <v>0.1238129864725946</v>
      </c>
      <c r="G92" s="241">
        <f>D92/C92</f>
        <v>0.1059703724351105</v>
      </c>
      <c r="H92" s="242">
        <f>1-G92</f>
        <v>0.89402962756488946</v>
      </c>
      <c r="I92" s="157"/>
    </row>
    <row r="93" spans="1:9" ht="15.75" x14ac:dyDescent="0.25">
      <c r="A93" s="164"/>
      <c r="B93" s="165">
        <f>DATE(21,10,1)</f>
        <v>7945</v>
      </c>
      <c r="C93" s="226">
        <v>30764540.789999999</v>
      </c>
      <c r="D93" s="226">
        <v>3415416.93</v>
      </c>
      <c r="E93" s="226">
        <v>2777127.87</v>
      </c>
      <c r="F93" s="166">
        <f>(+D93-E93)/E93</f>
        <v>0.22983783602301325</v>
      </c>
      <c r="G93" s="241">
        <f>D93/C93</f>
        <v>0.1110179720644548</v>
      </c>
      <c r="H93" s="242">
        <f>1-G93</f>
        <v>0.88898202793554515</v>
      </c>
      <c r="I93" s="157"/>
    </row>
    <row r="94" spans="1:9" ht="15.75" x14ac:dyDescent="0.25">
      <c r="A94" s="164"/>
      <c r="B94" s="165">
        <f>DATE(21,11,1)</f>
        <v>7976</v>
      </c>
      <c r="C94" s="226">
        <v>26364208.16</v>
      </c>
      <c r="D94" s="226">
        <v>3126811.29</v>
      </c>
      <c r="E94" s="226">
        <v>2545068.2999999998</v>
      </c>
      <c r="F94" s="166">
        <f>(+D94-E94)/E94</f>
        <v>0.22857657297448569</v>
      </c>
      <c r="G94" s="241">
        <f>D94/C94</f>
        <v>0.11860061455378829</v>
      </c>
      <c r="H94" s="242">
        <f>1-G94</f>
        <v>0.88139938544621166</v>
      </c>
      <c r="I94" s="157"/>
    </row>
    <row r="95" spans="1:9" ht="15.75" thickBot="1" x14ac:dyDescent="0.25">
      <c r="A95" s="167"/>
      <c r="B95" s="168"/>
      <c r="C95" s="226"/>
      <c r="D95" s="226"/>
      <c r="E95" s="226"/>
      <c r="F95" s="166"/>
      <c r="G95" s="241"/>
      <c r="H95" s="242"/>
      <c r="I95" s="157"/>
    </row>
    <row r="96" spans="1:9" ht="17.25" thickTop="1" thickBot="1" x14ac:dyDescent="0.3">
      <c r="A96" s="182" t="s">
        <v>14</v>
      </c>
      <c r="B96" s="183"/>
      <c r="C96" s="230">
        <f>SUM(C90:C95)</f>
        <v>147946662.89999998</v>
      </c>
      <c r="D96" s="230">
        <f>SUM(D90:D95)</f>
        <v>16241233.579999998</v>
      </c>
      <c r="E96" s="230">
        <f>SUM(E90:E95)</f>
        <v>13775706.93</v>
      </c>
      <c r="F96" s="176">
        <f>(+D96-E96)/E96</f>
        <v>0.17897641569527775</v>
      </c>
      <c r="G96" s="249">
        <f>D96/C96</f>
        <v>0.10977762702885542</v>
      </c>
      <c r="H96" s="246">
        <f>1-G96</f>
        <v>0.89022237297114459</v>
      </c>
      <c r="I96" s="157"/>
    </row>
    <row r="97" spans="1:9" ht="15.75" thickTop="1" x14ac:dyDescent="0.2">
      <c r="A97" s="167"/>
      <c r="B97" s="168"/>
      <c r="C97" s="226"/>
      <c r="D97" s="226"/>
      <c r="E97" s="226"/>
      <c r="F97" s="166"/>
      <c r="G97" s="241"/>
      <c r="H97" s="242"/>
      <c r="I97" s="157"/>
    </row>
    <row r="98" spans="1:9" ht="15.75" x14ac:dyDescent="0.25">
      <c r="A98" s="164" t="s">
        <v>37</v>
      </c>
      <c r="B98" s="165">
        <f>DATE(21,7,1)</f>
        <v>7853</v>
      </c>
      <c r="C98" s="226">
        <v>233748610.44</v>
      </c>
      <c r="D98" s="226">
        <v>21441670.739999998</v>
      </c>
      <c r="E98" s="226">
        <v>17781520.260000002</v>
      </c>
      <c r="F98" s="166">
        <f>(+D98-E98)/E98</f>
        <v>0.20584013214177202</v>
      </c>
      <c r="G98" s="241">
        <f>D98/C98</f>
        <v>9.1729617984205203E-2</v>
      </c>
      <c r="H98" s="242">
        <f>1-G98</f>
        <v>0.9082703820157948</v>
      </c>
      <c r="I98" s="157"/>
    </row>
    <row r="99" spans="1:9" ht="15.75" x14ac:dyDescent="0.25">
      <c r="A99" s="164"/>
      <c r="B99" s="165">
        <f>DATE(21,8,1)</f>
        <v>7884</v>
      </c>
      <c r="C99" s="226">
        <v>213172987.47</v>
      </c>
      <c r="D99" s="226">
        <v>19679228.600000001</v>
      </c>
      <c r="E99" s="226">
        <v>17286123.989999998</v>
      </c>
      <c r="F99" s="166">
        <f>(+D99-E99)/E99</f>
        <v>0.13844078703730295</v>
      </c>
      <c r="G99" s="241">
        <f>D99/C99</f>
        <v>9.2315770555917526E-2</v>
      </c>
      <c r="H99" s="242">
        <f>1-G99</f>
        <v>0.90768422944408245</v>
      </c>
      <c r="I99" s="157"/>
    </row>
    <row r="100" spans="1:9" ht="15.75" x14ac:dyDescent="0.25">
      <c r="A100" s="164"/>
      <c r="B100" s="165">
        <f>DATE(21,9,1)</f>
        <v>7915</v>
      </c>
      <c r="C100" s="226">
        <v>211086159.19</v>
      </c>
      <c r="D100" s="226">
        <v>19466571.379999999</v>
      </c>
      <c r="E100" s="226">
        <v>16702603.76</v>
      </c>
      <c r="F100" s="166">
        <f>(+D100-E100)/E100</f>
        <v>0.16548124230901345</v>
      </c>
      <c r="G100" s="241">
        <f>D100/C100</f>
        <v>9.2220974860213425E-2</v>
      </c>
      <c r="H100" s="242">
        <f>1-G100</f>
        <v>0.90777902513978659</v>
      </c>
      <c r="I100" s="157"/>
    </row>
    <row r="101" spans="1:9" ht="15.75" x14ac:dyDescent="0.25">
      <c r="A101" s="164"/>
      <c r="B101" s="165">
        <f>DATE(21,10,1)</f>
        <v>7945</v>
      </c>
      <c r="C101" s="226">
        <v>221465276.75</v>
      </c>
      <c r="D101" s="226">
        <v>20992171.949999999</v>
      </c>
      <c r="E101" s="226">
        <v>17754592.84</v>
      </c>
      <c r="F101" s="166">
        <f>(+D101-E101)/E101</f>
        <v>0.18235163932939841</v>
      </c>
      <c r="G101" s="241">
        <f>D101/C101</f>
        <v>9.4787644627906661E-2</v>
      </c>
      <c r="H101" s="242">
        <f>1-G101</f>
        <v>0.90521235537209332</v>
      </c>
      <c r="I101" s="157"/>
    </row>
    <row r="102" spans="1:9" ht="15.75" x14ac:dyDescent="0.25">
      <c r="A102" s="164"/>
      <c r="B102" s="165">
        <f>DATE(21,11,1)</f>
        <v>7976</v>
      </c>
      <c r="C102" s="226">
        <v>210964434.34999999</v>
      </c>
      <c r="D102" s="226">
        <v>19425579.760000002</v>
      </c>
      <c r="E102" s="226">
        <v>15307588.33</v>
      </c>
      <c r="F102" s="166">
        <f>(+D102-E102)/E102</f>
        <v>0.26901634282452652</v>
      </c>
      <c r="G102" s="241">
        <f>D102/C102</f>
        <v>9.2079879814111434E-2</v>
      </c>
      <c r="H102" s="242">
        <f>1-G102</f>
        <v>0.90792012018588852</v>
      </c>
      <c r="I102" s="157"/>
    </row>
    <row r="103" spans="1:9" ht="15.75" thickBot="1" x14ac:dyDescent="0.25">
      <c r="A103" s="167"/>
      <c r="B103" s="168"/>
      <c r="C103" s="226"/>
      <c r="D103" s="226"/>
      <c r="E103" s="226"/>
      <c r="F103" s="166"/>
      <c r="G103" s="241"/>
      <c r="H103" s="242"/>
      <c r="I103" s="157"/>
    </row>
    <row r="104" spans="1:9" ht="17.25" thickTop="1" thickBot="1" x14ac:dyDescent="0.3">
      <c r="A104" s="174" t="s">
        <v>14</v>
      </c>
      <c r="B104" s="175"/>
      <c r="C104" s="228">
        <f>SUM(C98:C103)</f>
        <v>1090437468.1999998</v>
      </c>
      <c r="D104" s="228">
        <f>SUM(D98:D103)</f>
        <v>101005222.43000001</v>
      </c>
      <c r="E104" s="228">
        <f>SUM(E98:E103)</f>
        <v>84832429.179999992</v>
      </c>
      <c r="F104" s="176">
        <f>(+D104-E104)/E104</f>
        <v>0.19064399553717951</v>
      </c>
      <c r="G104" s="245">
        <f>D104/C104</f>
        <v>9.2628165645051358E-2</v>
      </c>
      <c r="H104" s="246">
        <f>1-G104</f>
        <v>0.90737183435494861</v>
      </c>
      <c r="I104" s="157"/>
    </row>
    <row r="105" spans="1:9" ht="15.75" thickTop="1" x14ac:dyDescent="0.2">
      <c r="A105" s="167"/>
      <c r="B105" s="168"/>
      <c r="C105" s="226"/>
      <c r="D105" s="226"/>
      <c r="E105" s="226"/>
      <c r="F105" s="166"/>
      <c r="G105" s="241"/>
      <c r="H105" s="242"/>
      <c r="I105" s="157"/>
    </row>
    <row r="106" spans="1:9" ht="15.75" x14ac:dyDescent="0.25">
      <c r="A106" s="164" t="s">
        <v>58</v>
      </c>
      <c r="B106" s="165">
        <f>DATE(21,7,1)</f>
        <v>7853</v>
      </c>
      <c r="C106" s="226">
        <v>34083326.159999996</v>
      </c>
      <c r="D106" s="226">
        <v>3963905.07</v>
      </c>
      <c r="E106" s="226">
        <v>3357321.79</v>
      </c>
      <c r="F106" s="166">
        <f>(+D106-E106)/E106</f>
        <v>0.18067475146610829</v>
      </c>
      <c r="G106" s="241">
        <f>D106/C106</f>
        <v>0.11630041772894856</v>
      </c>
      <c r="H106" s="242">
        <f>1-G106</f>
        <v>0.88369958227105139</v>
      </c>
      <c r="I106" s="157"/>
    </row>
    <row r="107" spans="1:9" ht="15.75" x14ac:dyDescent="0.25">
      <c r="A107" s="164"/>
      <c r="B107" s="165">
        <f>DATE(21,8,1)</f>
        <v>7884</v>
      </c>
      <c r="C107" s="226">
        <v>34540166.32</v>
      </c>
      <c r="D107" s="226">
        <v>3797696.16</v>
      </c>
      <c r="E107" s="226">
        <v>3360444.04</v>
      </c>
      <c r="F107" s="166">
        <f>(+D107-E107)/E107</f>
        <v>0.13011736389456438</v>
      </c>
      <c r="G107" s="241">
        <f>D107/C107</f>
        <v>0.10995014108548161</v>
      </c>
      <c r="H107" s="242">
        <f>1-G107</f>
        <v>0.89004985891451838</v>
      </c>
      <c r="I107" s="157"/>
    </row>
    <row r="108" spans="1:9" ht="15.75" x14ac:dyDescent="0.25">
      <c r="A108" s="164"/>
      <c r="B108" s="165">
        <f>DATE(21,9,1)</f>
        <v>7915</v>
      </c>
      <c r="C108" s="226">
        <v>32245918.620000001</v>
      </c>
      <c r="D108" s="226">
        <v>3519488.37</v>
      </c>
      <c r="E108" s="226">
        <v>3031984.28</v>
      </c>
      <c r="F108" s="166">
        <f>(+D108-E108)/E108</f>
        <v>0.16078714299930352</v>
      </c>
      <c r="G108" s="241">
        <f>D108/C108</f>
        <v>0.10914523513735767</v>
      </c>
      <c r="H108" s="242">
        <f>1-G108</f>
        <v>0.89085476486264237</v>
      </c>
      <c r="I108" s="157"/>
    </row>
    <row r="109" spans="1:9" ht="15.75" x14ac:dyDescent="0.25">
      <c r="A109" s="164"/>
      <c r="B109" s="165">
        <f>DATE(21,10,1)</f>
        <v>7945</v>
      </c>
      <c r="C109" s="226">
        <v>35165394.68</v>
      </c>
      <c r="D109" s="226">
        <v>3955357.96</v>
      </c>
      <c r="E109" s="226">
        <v>2770053.1200000001</v>
      </c>
      <c r="F109" s="166">
        <f>(+D109-E109)/E109</f>
        <v>0.42789967868919415</v>
      </c>
      <c r="G109" s="241">
        <f>D109/C109</f>
        <v>0.11247870231496575</v>
      </c>
      <c r="H109" s="242">
        <f>1-G109</f>
        <v>0.88752129768503429</v>
      </c>
      <c r="I109" s="157"/>
    </row>
    <row r="110" spans="1:9" ht="15.75" x14ac:dyDescent="0.25">
      <c r="A110" s="164"/>
      <c r="B110" s="165">
        <f>DATE(21,11,1)</f>
        <v>7976</v>
      </c>
      <c r="C110" s="226">
        <v>32606589.75</v>
      </c>
      <c r="D110" s="226">
        <v>3600834.91</v>
      </c>
      <c r="E110" s="226">
        <v>2396488.16</v>
      </c>
      <c r="F110" s="166">
        <f>(+D110-E110)/E110</f>
        <v>0.50254650538311019</v>
      </c>
      <c r="G110" s="241">
        <f>D110/C110</f>
        <v>0.110432735763175</v>
      </c>
      <c r="H110" s="242">
        <f>1-G110</f>
        <v>0.88956726423682497</v>
      </c>
      <c r="I110" s="157"/>
    </row>
    <row r="111" spans="1:9" ht="15.75" thickBot="1" x14ac:dyDescent="0.25">
      <c r="A111" s="167"/>
      <c r="B111" s="168"/>
      <c r="C111" s="226"/>
      <c r="D111" s="226"/>
      <c r="E111" s="226"/>
      <c r="F111" s="166"/>
      <c r="G111" s="241"/>
      <c r="H111" s="242"/>
      <c r="I111" s="157"/>
    </row>
    <row r="112" spans="1:9" ht="17.25" thickTop="1" thickBot="1" x14ac:dyDescent="0.3">
      <c r="A112" s="169" t="s">
        <v>14</v>
      </c>
      <c r="B112" s="155"/>
      <c r="C112" s="223">
        <f>SUM(C106:C111)</f>
        <v>168641395.53</v>
      </c>
      <c r="D112" s="223">
        <f>SUM(D106:D111)</f>
        <v>18837282.470000003</v>
      </c>
      <c r="E112" s="223">
        <f>SUM(E106:E111)</f>
        <v>14916291.390000001</v>
      </c>
      <c r="F112" s="176">
        <f>(+D112-E112)/E112</f>
        <v>0.2628663504541528</v>
      </c>
      <c r="G112" s="245">
        <f>D112/C112</f>
        <v>0.11170022882459482</v>
      </c>
      <c r="H112" s="246">
        <f>1-G112</f>
        <v>0.88829977117540515</v>
      </c>
      <c r="I112" s="157"/>
    </row>
    <row r="113" spans="1:9" ht="16.5" thickTop="1" thickBot="1" x14ac:dyDescent="0.25">
      <c r="A113" s="171"/>
      <c r="B113" s="172"/>
      <c r="C113" s="227"/>
      <c r="D113" s="227"/>
      <c r="E113" s="227"/>
      <c r="F113" s="173"/>
      <c r="G113" s="243"/>
      <c r="H113" s="244"/>
      <c r="I113" s="157"/>
    </row>
    <row r="114" spans="1:9" ht="17.25" thickTop="1" thickBot="1" x14ac:dyDescent="0.3">
      <c r="A114" s="184" t="s">
        <v>38</v>
      </c>
      <c r="B114" s="155"/>
      <c r="C114" s="223">
        <f>C112+C104+C80+C64+C48+C32+C16+C40+C96+C24+C72+C88+C56</f>
        <v>7001497306.3900003</v>
      </c>
      <c r="D114" s="223">
        <f>D112+D104+D80+D64+D48+D32+D16+D40+D96+D24+D72+D88+D56</f>
        <v>677953862.44999981</v>
      </c>
      <c r="E114" s="223">
        <f>E112+E104+E80+E64+E48+E32+E16+E40+E96+E24+E72+E88+E56</f>
        <v>559129569.33999991</v>
      </c>
      <c r="F114" s="170">
        <f>(+D114-E114)/E114</f>
        <v>0.21251656078618922</v>
      </c>
      <c r="G114" s="236">
        <f>D114/C114</f>
        <v>9.6829839787449051E-2</v>
      </c>
      <c r="H114" s="237">
        <f>1-G114</f>
        <v>0.90317016021255092</v>
      </c>
      <c r="I114" s="157"/>
    </row>
    <row r="115" spans="1:9" ht="17.25" thickTop="1" thickBot="1" x14ac:dyDescent="0.3">
      <c r="A115" s="184"/>
      <c r="B115" s="155"/>
      <c r="C115" s="223"/>
      <c r="D115" s="223"/>
      <c r="E115" s="223"/>
      <c r="F115" s="170"/>
      <c r="G115" s="236"/>
      <c r="H115" s="237"/>
      <c r="I115" s="157"/>
    </row>
    <row r="116" spans="1:9" ht="17.25" thickTop="1" thickBot="1" x14ac:dyDescent="0.3">
      <c r="A116" s="184" t="s">
        <v>39</v>
      </c>
      <c r="B116" s="155"/>
      <c r="C116" s="223">
        <f>SUM(C14+C22+C30+C38+C46+C54+C62+C70+C78+C86+C94+C102+C110)</f>
        <v>1320575847.8</v>
      </c>
      <c r="D116" s="223">
        <f>SUM(D14+D22+D30+D38+D46+D54+D62+D70+D78+D86+D94+D102+D110)</f>
        <v>128310637.75</v>
      </c>
      <c r="E116" s="223">
        <f>SUM(E14+E22+E30+E38+E46+E54+E62+E70+E78+E86+E94+E102+E110)</f>
        <v>102067800.52</v>
      </c>
      <c r="F116" s="170">
        <f>(+D116-E116)/E116</f>
        <v>0.25711181289595603</v>
      </c>
      <c r="G116" s="236">
        <f>D116/C116</f>
        <v>9.7162641558042898E-2</v>
      </c>
      <c r="H116" s="246">
        <f>1-G116</f>
        <v>0.90283735844195712</v>
      </c>
      <c r="I116" s="157"/>
    </row>
    <row r="117" spans="1:9" ht="16.5" thickTop="1" x14ac:dyDescent="0.25">
      <c r="A117" s="185"/>
      <c r="B117" s="186"/>
      <c r="C117" s="231"/>
      <c r="D117" s="231"/>
      <c r="E117" s="231"/>
      <c r="F117" s="187"/>
      <c r="G117" s="250"/>
      <c r="H117" s="250"/>
      <c r="I117" s="151"/>
    </row>
    <row r="118" spans="1:9" ht="16.5" customHeight="1" x14ac:dyDescent="0.3">
      <c r="A118" s="188" t="s">
        <v>49</v>
      </c>
      <c r="B118" s="189"/>
      <c r="C118" s="232"/>
      <c r="D118" s="232"/>
      <c r="E118" s="232"/>
      <c r="F118" s="190"/>
      <c r="G118" s="251"/>
      <c r="H118" s="251"/>
      <c r="I118" s="151"/>
    </row>
    <row r="119" spans="1:9" ht="15.75" x14ac:dyDescent="0.25">
      <c r="A119" s="191"/>
      <c r="B119" s="189"/>
      <c r="C119" s="232"/>
      <c r="D119" s="232"/>
      <c r="E119" s="232"/>
      <c r="F119" s="190"/>
      <c r="G119" s="257"/>
      <c r="H119" s="257"/>
      <c r="I119" s="151"/>
    </row>
    <row r="120" spans="1:9" ht="15.75" x14ac:dyDescent="0.25">
      <c r="A120" s="72"/>
      <c r="I120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2" manualBreakCount="2">
    <brk id="48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2021-12-09T15:28:58Z</cp:lastPrinted>
  <dcterms:created xsi:type="dcterms:W3CDTF">2003-09-09T14:41:43Z</dcterms:created>
  <dcterms:modified xsi:type="dcterms:W3CDTF">2021-12-09T20:59:09Z</dcterms:modified>
</cp:coreProperties>
</file>