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90" yWindow="150" windowWidth="7530" windowHeight="4050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STATS'!$A$1:$M$182</definedName>
    <definedName name="_xlnm.Print_Area" localSheetId="4">'SLOT STATS'!$A$1:$I$183</definedName>
    <definedName name="_xlnm.Print_Area" localSheetId="2">'TABLE STATS'!$A$1:$H$182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162913"/>
</workbook>
</file>

<file path=xl/calcChain.xml><?xml version="1.0" encoding="utf-8"?>
<calcChain xmlns="http://schemas.openxmlformats.org/spreadsheetml/2006/main">
  <c r="E181" i="4" l="1"/>
  <c r="F181" i="4"/>
  <c r="D181" i="4"/>
  <c r="G181" i="4" s="1"/>
  <c r="H181" i="4" s="1"/>
  <c r="C181" i="4"/>
  <c r="F175" i="4"/>
  <c r="G175" i="4"/>
  <c r="H175" i="4"/>
  <c r="F162" i="4"/>
  <c r="G162" i="4"/>
  <c r="H162" i="4" s="1"/>
  <c r="F149" i="4"/>
  <c r="G149" i="4"/>
  <c r="H149" i="4" s="1"/>
  <c r="F136" i="4"/>
  <c r="G136" i="4"/>
  <c r="H136" i="4"/>
  <c r="F123" i="4"/>
  <c r="G123" i="4"/>
  <c r="H123" i="4"/>
  <c r="F110" i="4"/>
  <c r="G110" i="4"/>
  <c r="H110" i="4" s="1"/>
  <c r="F97" i="4"/>
  <c r="G97" i="4"/>
  <c r="H97" i="4" s="1"/>
  <c r="F84" i="4"/>
  <c r="G84" i="4"/>
  <c r="H84" i="4"/>
  <c r="F71" i="4"/>
  <c r="G71" i="4"/>
  <c r="H71" i="4"/>
  <c r="F58" i="4"/>
  <c r="G58" i="4"/>
  <c r="H58" i="4" s="1"/>
  <c r="G45" i="4"/>
  <c r="H45" i="4"/>
  <c r="G44" i="4"/>
  <c r="H44" i="4" s="1"/>
  <c r="F45" i="4"/>
  <c r="F32" i="4"/>
  <c r="G32" i="4"/>
  <c r="H32" i="4" s="1"/>
  <c r="F19" i="4"/>
  <c r="G19" i="4"/>
  <c r="H19" i="4"/>
  <c r="B175" i="4"/>
  <c r="B162" i="4"/>
  <c r="B149" i="4"/>
  <c r="B136" i="4"/>
  <c r="B123" i="4"/>
  <c r="B110" i="4"/>
  <c r="B97" i="4"/>
  <c r="B84" i="4"/>
  <c r="B71" i="4"/>
  <c r="B58" i="4"/>
  <c r="B45" i="4"/>
  <c r="B32" i="4"/>
  <c r="B19" i="4"/>
  <c r="E181" i="5"/>
  <c r="D181" i="5"/>
  <c r="C181" i="5"/>
  <c r="G181" i="5"/>
  <c r="H181" i="5" s="1"/>
  <c r="F162" i="5"/>
  <c r="G162" i="5"/>
  <c r="H162" i="5"/>
  <c r="B175" i="5"/>
  <c r="B162" i="5"/>
  <c r="B149" i="5"/>
  <c r="B136" i="5"/>
  <c r="B123" i="5"/>
  <c r="B110" i="5"/>
  <c r="B97" i="5"/>
  <c r="B84" i="5"/>
  <c r="B71" i="5"/>
  <c r="B58" i="5"/>
  <c r="B45" i="5"/>
  <c r="B32" i="5"/>
  <c r="B19" i="5"/>
  <c r="E180" i="3"/>
  <c r="D180" i="3"/>
  <c r="G180" i="3" s="1"/>
  <c r="C180" i="3"/>
  <c r="F174" i="3"/>
  <c r="G174" i="3"/>
  <c r="F161" i="3"/>
  <c r="G161" i="3"/>
  <c r="F148" i="3"/>
  <c r="G148" i="3"/>
  <c r="F135" i="3"/>
  <c r="G135" i="3"/>
  <c r="F122" i="3"/>
  <c r="G122" i="3"/>
  <c r="F109" i="3"/>
  <c r="G109" i="3"/>
  <c r="F96" i="3"/>
  <c r="G96" i="3"/>
  <c r="F83" i="3"/>
  <c r="G83" i="3"/>
  <c r="F70" i="3"/>
  <c r="G70" i="3"/>
  <c r="F57" i="3"/>
  <c r="G57" i="3"/>
  <c r="F44" i="3"/>
  <c r="G44" i="3"/>
  <c r="F31" i="3"/>
  <c r="G31" i="3"/>
  <c r="F18" i="3"/>
  <c r="G18" i="3"/>
  <c r="B174" i="3"/>
  <c r="B161" i="3"/>
  <c r="B148" i="3"/>
  <c r="B135" i="3"/>
  <c r="B122" i="3"/>
  <c r="B109" i="3"/>
  <c r="B96" i="3"/>
  <c r="B83" i="3"/>
  <c r="B70" i="3"/>
  <c r="B57" i="3"/>
  <c r="B44" i="3"/>
  <c r="B31" i="3"/>
  <c r="B18" i="3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40" i="2"/>
  <c r="A19" i="2"/>
  <c r="L180" i="1"/>
  <c r="K180" i="1"/>
  <c r="I180" i="1" s="1"/>
  <c r="D180" i="1"/>
  <c r="C180" i="1"/>
  <c r="H174" i="1"/>
  <c r="M174" i="1"/>
  <c r="I174" i="1"/>
  <c r="G174" i="1"/>
  <c r="F174" i="1"/>
  <c r="J174" i="1" s="1"/>
  <c r="E174" i="1"/>
  <c r="F160" i="1"/>
  <c r="H160" i="1" s="1"/>
  <c r="H161" i="1"/>
  <c r="M161" i="1"/>
  <c r="I161" i="1"/>
  <c r="G161" i="1"/>
  <c r="F161" i="1"/>
  <c r="J161" i="1" s="1"/>
  <c r="E161" i="1"/>
  <c r="M148" i="1"/>
  <c r="I148" i="1"/>
  <c r="G148" i="1"/>
  <c r="F148" i="1"/>
  <c r="J148" i="1" s="1"/>
  <c r="E148" i="1"/>
  <c r="M135" i="1"/>
  <c r="I135" i="1"/>
  <c r="G135" i="1"/>
  <c r="F135" i="1"/>
  <c r="H135" i="1" s="1"/>
  <c r="E135" i="1"/>
  <c r="M122" i="1"/>
  <c r="I122" i="1"/>
  <c r="G122" i="1"/>
  <c r="F122" i="1"/>
  <c r="H122" i="1" s="1"/>
  <c r="E122" i="1"/>
  <c r="M109" i="1"/>
  <c r="I109" i="1"/>
  <c r="J109" i="1"/>
  <c r="G109" i="1"/>
  <c r="F109" i="1"/>
  <c r="H109" i="1" s="1"/>
  <c r="E109" i="1"/>
  <c r="F91" i="1"/>
  <c r="M96" i="1"/>
  <c r="I96" i="1"/>
  <c r="G96" i="1"/>
  <c r="F96" i="1"/>
  <c r="H96" i="1" s="1"/>
  <c r="E96" i="1"/>
  <c r="H83" i="1"/>
  <c r="M83" i="1"/>
  <c r="I83" i="1"/>
  <c r="J83" i="1"/>
  <c r="G83" i="1"/>
  <c r="F83" i="1"/>
  <c r="E83" i="1"/>
  <c r="M70" i="1"/>
  <c r="I70" i="1"/>
  <c r="G70" i="1"/>
  <c r="F70" i="1"/>
  <c r="H70" i="1" s="1"/>
  <c r="E70" i="1"/>
  <c r="M57" i="1"/>
  <c r="I57" i="1"/>
  <c r="J57" i="1"/>
  <c r="G57" i="1"/>
  <c r="F57" i="1"/>
  <c r="H57" i="1" s="1"/>
  <c r="E57" i="1"/>
  <c r="F43" i="1"/>
  <c r="H43" i="1" s="1"/>
  <c r="H44" i="1"/>
  <c r="M44" i="1"/>
  <c r="I44" i="1"/>
  <c r="G44" i="1"/>
  <c r="F44" i="1"/>
  <c r="J44" i="1" s="1"/>
  <c r="E44" i="1"/>
  <c r="F30" i="1"/>
  <c r="M31" i="1"/>
  <c r="I31" i="1"/>
  <c r="G31" i="1"/>
  <c r="G180" i="1" s="1"/>
  <c r="F31" i="1"/>
  <c r="H31" i="1" s="1"/>
  <c r="E31" i="1"/>
  <c r="H18" i="1"/>
  <c r="M18" i="1"/>
  <c r="G18" i="1"/>
  <c r="I18" i="1"/>
  <c r="F18" i="1"/>
  <c r="F180" i="1" s="1"/>
  <c r="E18" i="1"/>
  <c r="B174" i="1"/>
  <c r="B161" i="1"/>
  <c r="B148" i="1"/>
  <c r="B135" i="1"/>
  <c r="B122" i="1"/>
  <c r="B109" i="1"/>
  <c r="B96" i="1"/>
  <c r="B83" i="1"/>
  <c r="B70" i="1"/>
  <c r="B57" i="1"/>
  <c r="B44" i="1"/>
  <c r="B31" i="1"/>
  <c r="B18" i="1"/>
  <c r="F174" i="4"/>
  <c r="G174" i="4"/>
  <c r="H174" i="4" s="1"/>
  <c r="F161" i="4"/>
  <c r="G161" i="4"/>
  <c r="H161" i="4" s="1"/>
  <c r="F148" i="4"/>
  <c r="G148" i="4"/>
  <c r="H148" i="4" s="1"/>
  <c r="F135" i="4"/>
  <c r="G135" i="4"/>
  <c r="H135" i="4" s="1"/>
  <c r="F122" i="4"/>
  <c r="G122" i="4"/>
  <c r="H122" i="4"/>
  <c r="F109" i="4"/>
  <c r="G109" i="4"/>
  <c r="H109" i="4" s="1"/>
  <c r="F96" i="4"/>
  <c r="G96" i="4"/>
  <c r="H96" i="4" s="1"/>
  <c r="F83" i="4"/>
  <c r="G83" i="4"/>
  <c r="H83" i="4" s="1"/>
  <c r="F70" i="4"/>
  <c r="G70" i="4"/>
  <c r="H70" i="4" s="1"/>
  <c r="F57" i="4"/>
  <c r="G57" i="4"/>
  <c r="H57" i="4" s="1"/>
  <c r="F44" i="4"/>
  <c r="F31" i="4"/>
  <c r="G31" i="4"/>
  <c r="H31" i="4"/>
  <c r="F18" i="4"/>
  <c r="G18" i="4"/>
  <c r="H18" i="4"/>
  <c r="B174" i="4"/>
  <c r="B161" i="4"/>
  <c r="B148" i="4"/>
  <c r="B135" i="4"/>
  <c r="B122" i="4"/>
  <c r="B109" i="4"/>
  <c r="B96" i="4"/>
  <c r="B83" i="4"/>
  <c r="B70" i="4"/>
  <c r="B57" i="4"/>
  <c r="B44" i="4"/>
  <c r="B31" i="4"/>
  <c r="B18" i="4"/>
  <c r="F161" i="5"/>
  <c r="G161" i="5"/>
  <c r="H161" i="5"/>
  <c r="B174" i="5"/>
  <c r="B161" i="5"/>
  <c r="B148" i="5"/>
  <c r="B135" i="5"/>
  <c r="B122" i="5"/>
  <c r="B109" i="5"/>
  <c r="B96" i="5"/>
  <c r="B83" i="5"/>
  <c r="B70" i="5"/>
  <c r="B57" i="5"/>
  <c r="B44" i="5"/>
  <c r="B31" i="5"/>
  <c r="B18" i="5"/>
  <c r="F173" i="3"/>
  <c r="G173" i="3"/>
  <c r="F160" i="3"/>
  <c r="G160" i="3"/>
  <c r="F147" i="3"/>
  <c r="G147" i="3"/>
  <c r="F134" i="3"/>
  <c r="G134" i="3"/>
  <c r="F121" i="3"/>
  <c r="G121" i="3"/>
  <c r="F108" i="3"/>
  <c r="G108" i="3"/>
  <c r="F95" i="3"/>
  <c r="G95" i="3"/>
  <c r="F82" i="3"/>
  <c r="G82" i="3"/>
  <c r="F69" i="3"/>
  <c r="G69" i="3"/>
  <c r="F56" i="3"/>
  <c r="G56" i="3"/>
  <c r="F43" i="3"/>
  <c r="G43" i="3"/>
  <c r="F30" i="3"/>
  <c r="G30" i="3"/>
  <c r="F17" i="3"/>
  <c r="G17" i="3"/>
  <c r="B173" i="3"/>
  <c r="B160" i="3"/>
  <c r="B147" i="3"/>
  <c r="B134" i="3"/>
  <c r="B121" i="3"/>
  <c r="B108" i="3"/>
  <c r="B95" i="3"/>
  <c r="B82" i="3"/>
  <c r="B69" i="3"/>
  <c r="B56" i="3"/>
  <c r="B43" i="3"/>
  <c r="B30" i="3"/>
  <c r="B17" i="3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N18" i="2"/>
  <c r="M18" i="2"/>
  <c r="O18" i="2" s="1"/>
  <c r="L18" i="2"/>
  <c r="K18" i="2"/>
  <c r="J18" i="2"/>
  <c r="I18" i="2"/>
  <c r="H18" i="2"/>
  <c r="G18" i="2"/>
  <c r="F18" i="2"/>
  <c r="E18" i="2"/>
  <c r="D18" i="2"/>
  <c r="C18" i="2"/>
  <c r="B18" i="2"/>
  <c r="A39" i="2"/>
  <c r="A18" i="2"/>
  <c r="F94" i="1"/>
  <c r="F133" i="1"/>
  <c r="H173" i="1"/>
  <c r="M173" i="1"/>
  <c r="I173" i="1"/>
  <c r="J173" i="1"/>
  <c r="G173" i="1"/>
  <c r="F173" i="1"/>
  <c r="E173" i="1"/>
  <c r="M160" i="1"/>
  <c r="I160" i="1"/>
  <c r="G160" i="1"/>
  <c r="E160" i="1"/>
  <c r="H147" i="1"/>
  <c r="M147" i="1"/>
  <c r="I147" i="1"/>
  <c r="J147" i="1"/>
  <c r="G147" i="1"/>
  <c r="F147" i="1"/>
  <c r="E147" i="1"/>
  <c r="M134" i="1"/>
  <c r="I134" i="1"/>
  <c r="G134" i="1"/>
  <c r="F134" i="1"/>
  <c r="J134" i="1" s="1"/>
  <c r="E134" i="1"/>
  <c r="M121" i="1"/>
  <c r="I121" i="1"/>
  <c r="J121" i="1"/>
  <c r="G121" i="1"/>
  <c r="F121" i="1"/>
  <c r="H121" i="1" s="1"/>
  <c r="E121" i="1"/>
  <c r="H108" i="1"/>
  <c r="M108" i="1"/>
  <c r="I108" i="1"/>
  <c r="J108" i="1"/>
  <c r="G108" i="1"/>
  <c r="F108" i="1"/>
  <c r="E108" i="1"/>
  <c r="H95" i="1"/>
  <c r="M95" i="1"/>
  <c r="I95" i="1"/>
  <c r="J95" i="1"/>
  <c r="G95" i="1"/>
  <c r="F95" i="1"/>
  <c r="E95" i="1"/>
  <c r="M82" i="1"/>
  <c r="I82" i="1"/>
  <c r="J82" i="1"/>
  <c r="G82" i="1"/>
  <c r="G85" i="1"/>
  <c r="F82" i="1"/>
  <c r="H82" i="1" s="1"/>
  <c r="E82" i="1"/>
  <c r="H69" i="1"/>
  <c r="M69" i="1"/>
  <c r="I69" i="1"/>
  <c r="G69" i="1"/>
  <c r="F69" i="1"/>
  <c r="J69" i="1" s="1"/>
  <c r="E69" i="1"/>
  <c r="M56" i="1"/>
  <c r="I56" i="1"/>
  <c r="J56" i="1"/>
  <c r="G56" i="1"/>
  <c r="H56" i="1" s="1"/>
  <c r="F56" i="1"/>
  <c r="E56" i="1"/>
  <c r="M43" i="1"/>
  <c r="I43" i="1"/>
  <c r="G43" i="1"/>
  <c r="E43" i="1"/>
  <c r="M30" i="1"/>
  <c r="I30" i="1"/>
  <c r="G30" i="1"/>
  <c r="E30" i="1"/>
  <c r="M17" i="1"/>
  <c r="I17" i="1"/>
  <c r="G17" i="1"/>
  <c r="F17" i="1"/>
  <c r="H17" i="1" s="1"/>
  <c r="E17" i="1"/>
  <c r="B173" i="1"/>
  <c r="B160" i="1"/>
  <c r="B147" i="1"/>
  <c r="B134" i="1"/>
  <c r="B121" i="1"/>
  <c r="B108" i="1"/>
  <c r="B95" i="1"/>
  <c r="B82" i="1"/>
  <c r="B69" i="1"/>
  <c r="B56" i="1"/>
  <c r="B43" i="1"/>
  <c r="B30" i="1"/>
  <c r="B17" i="1"/>
  <c r="F173" i="4"/>
  <c r="G173" i="4"/>
  <c r="H173" i="4"/>
  <c r="F160" i="4"/>
  <c r="G160" i="4"/>
  <c r="H160" i="4"/>
  <c r="F147" i="4"/>
  <c r="G147" i="4"/>
  <c r="H147" i="4"/>
  <c r="F134" i="4"/>
  <c r="G134" i="4"/>
  <c r="H134" i="4"/>
  <c r="F121" i="4"/>
  <c r="G121" i="4"/>
  <c r="H121" i="4"/>
  <c r="F108" i="4"/>
  <c r="G108" i="4"/>
  <c r="H108" i="4"/>
  <c r="F95" i="4"/>
  <c r="G95" i="4"/>
  <c r="H95" i="4"/>
  <c r="F82" i="4"/>
  <c r="G82" i="4"/>
  <c r="H82" i="4"/>
  <c r="F69" i="4"/>
  <c r="G69" i="4"/>
  <c r="H69" i="4"/>
  <c r="F56" i="4"/>
  <c r="G56" i="4"/>
  <c r="H56" i="4"/>
  <c r="F43" i="4"/>
  <c r="G43" i="4"/>
  <c r="H43" i="4"/>
  <c r="F30" i="4"/>
  <c r="G30" i="4"/>
  <c r="H30" i="4"/>
  <c r="F17" i="4"/>
  <c r="G17" i="4"/>
  <c r="H17" i="4"/>
  <c r="B173" i="4"/>
  <c r="B160" i="4"/>
  <c r="B147" i="4"/>
  <c r="B134" i="4"/>
  <c r="B121" i="4"/>
  <c r="B108" i="4"/>
  <c r="B95" i="4"/>
  <c r="B82" i="4"/>
  <c r="B69" i="4"/>
  <c r="B56" i="4"/>
  <c r="B43" i="4"/>
  <c r="B30" i="4"/>
  <c r="B17" i="4"/>
  <c r="F160" i="5"/>
  <c r="G160" i="5"/>
  <c r="H160" i="5" s="1"/>
  <c r="B173" i="5"/>
  <c r="B160" i="5"/>
  <c r="B147" i="5"/>
  <c r="B134" i="5"/>
  <c r="B121" i="5"/>
  <c r="B108" i="5"/>
  <c r="B95" i="5"/>
  <c r="B82" i="5"/>
  <c r="B69" i="5"/>
  <c r="B56" i="5"/>
  <c r="B43" i="5"/>
  <c r="B30" i="5"/>
  <c r="B17" i="5"/>
  <c r="F172" i="3"/>
  <c r="G172" i="3"/>
  <c r="F159" i="3"/>
  <c r="G159" i="3"/>
  <c r="F146" i="3"/>
  <c r="G146" i="3"/>
  <c r="F133" i="3"/>
  <c r="G133" i="3"/>
  <c r="F120" i="3"/>
  <c r="G120" i="3"/>
  <c r="F107" i="3"/>
  <c r="G107" i="3"/>
  <c r="F94" i="3"/>
  <c r="G94" i="3"/>
  <c r="F81" i="3"/>
  <c r="G81" i="3"/>
  <c r="F68" i="3"/>
  <c r="G68" i="3"/>
  <c r="F55" i="3"/>
  <c r="G55" i="3"/>
  <c r="F42" i="3"/>
  <c r="G42" i="3"/>
  <c r="F29" i="3"/>
  <c r="G29" i="3"/>
  <c r="F16" i="3"/>
  <c r="G16" i="3"/>
  <c r="B172" i="3"/>
  <c r="B159" i="3"/>
  <c r="B146" i="3"/>
  <c r="B133" i="3"/>
  <c r="B120" i="3"/>
  <c r="B107" i="3"/>
  <c r="B94" i="3"/>
  <c r="B81" i="3"/>
  <c r="B68" i="3"/>
  <c r="B55" i="3"/>
  <c r="B42" i="3"/>
  <c r="B29" i="3"/>
  <c r="B16" i="3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O38" i="2" s="1"/>
  <c r="N17" i="2"/>
  <c r="M17" i="2"/>
  <c r="L17" i="2"/>
  <c r="K17" i="2"/>
  <c r="J17" i="2"/>
  <c r="I17" i="2"/>
  <c r="H17" i="2"/>
  <c r="G17" i="2"/>
  <c r="F17" i="2"/>
  <c r="E17" i="2"/>
  <c r="D17" i="2"/>
  <c r="C17" i="2"/>
  <c r="O17" i="2" s="1"/>
  <c r="B17" i="2"/>
  <c r="A38" i="2"/>
  <c r="A17" i="2"/>
  <c r="M172" i="1"/>
  <c r="I172" i="1"/>
  <c r="G172" i="1"/>
  <c r="F172" i="1"/>
  <c r="H172" i="1" s="1"/>
  <c r="E172" i="1"/>
  <c r="H159" i="1"/>
  <c r="M159" i="1"/>
  <c r="I159" i="1"/>
  <c r="J159" i="1"/>
  <c r="G159" i="1"/>
  <c r="F159" i="1"/>
  <c r="E159" i="1"/>
  <c r="M146" i="1"/>
  <c r="I146" i="1"/>
  <c r="J146" i="1"/>
  <c r="G146" i="1"/>
  <c r="F146" i="1"/>
  <c r="H146" i="1" s="1"/>
  <c r="E146" i="1"/>
  <c r="M133" i="1"/>
  <c r="I133" i="1"/>
  <c r="G133" i="1"/>
  <c r="H133" i="1" s="1"/>
  <c r="J133" i="1"/>
  <c r="E133" i="1"/>
  <c r="M120" i="1"/>
  <c r="I120" i="1"/>
  <c r="J120" i="1"/>
  <c r="G120" i="1"/>
  <c r="F120" i="1"/>
  <c r="H120" i="1" s="1"/>
  <c r="E120" i="1"/>
  <c r="M107" i="1"/>
  <c r="I107" i="1"/>
  <c r="G107" i="1"/>
  <c r="F107" i="1"/>
  <c r="H107" i="1" s="1"/>
  <c r="E107" i="1"/>
  <c r="M94" i="1"/>
  <c r="I94" i="1"/>
  <c r="G94" i="1"/>
  <c r="H94" i="1"/>
  <c r="E94" i="1"/>
  <c r="M81" i="1"/>
  <c r="I81" i="1"/>
  <c r="G81" i="1"/>
  <c r="F81" i="1"/>
  <c r="H81" i="1" s="1"/>
  <c r="E81" i="1"/>
  <c r="H68" i="1"/>
  <c r="M68" i="1"/>
  <c r="I68" i="1"/>
  <c r="J68" i="1"/>
  <c r="G68" i="1"/>
  <c r="F68" i="1"/>
  <c r="E68" i="1"/>
  <c r="M55" i="1"/>
  <c r="I55" i="1"/>
  <c r="J55" i="1"/>
  <c r="G55" i="1"/>
  <c r="F55" i="1"/>
  <c r="H55" i="1" s="1"/>
  <c r="E55" i="1"/>
  <c r="H42" i="1"/>
  <c r="M42" i="1"/>
  <c r="I42" i="1"/>
  <c r="J42" i="1"/>
  <c r="G42" i="1"/>
  <c r="F42" i="1"/>
  <c r="E42" i="1"/>
  <c r="H29" i="1"/>
  <c r="M29" i="1"/>
  <c r="I29" i="1"/>
  <c r="J29" i="1"/>
  <c r="G29" i="1"/>
  <c r="F29" i="1"/>
  <c r="E29" i="1"/>
  <c r="M16" i="1"/>
  <c r="I16" i="1"/>
  <c r="G16" i="1"/>
  <c r="F16" i="1"/>
  <c r="H16" i="1" s="1"/>
  <c r="F20" i="1"/>
  <c r="H20" i="1" s="1"/>
  <c r="E16" i="1"/>
  <c r="B172" i="1"/>
  <c r="B159" i="1"/>
  <c r="B146" i="1"/>
  <c r="B133" i="1"/>
  <c r="B120" i="1"/>
  <c r="B107" i="1"/>
  <c r="B94" i="1"/>
  <c r="B81" i="1"/>
  <c r="B68" i="1"/>
  <c r="B55" i="1"/>
  <c r="B42" i="1"/>
  <c r="B29" i="1"/>
  <c r="B16" i="1"/>
  <c r="F172" i="4"/>
  <c r="G172" i="4"/>
  <c r="H172" i="4" s="1"/>
  <c r="F159" i="4"/>
  <c r="G159" i="4"/>
  <c r="H159" i="4" s="1"/>
  <c r="F146" i="4"/>
  <c r="G146" i="4"/>
  <c r="H146" i="4" s="1"/>
  <c r="F133" i="4"/>
  <c r="G133" i="4"/>
  <c r="H133" i="4" s="1"/>
  <c r="F120" i="4"/>
  <c r="G120" i="4"/>
  <c r="H120" i="4" s="1"/>
  <c r="F107" i="4"/>
  <c r="G107" i="4"/>
  <c r="H107" i="4" s="1"/>
  <c r="F94" i="4"/>
  <c r="G94" i="4"/>
  <c r="H94" i="4" s="1"/>
  <c r="F81" i="4"/>
  <c r="G81" i="4"/>
  <c r="H81" i="4" s="1"/>
  <c r="F68" i="4"/>
  <c r="G68" i="4"/>
  <c r="H68" i="4" s="1"/>
  <c r="F55" i="4"/>
  <c r="G55" i="4"/>
  <c r="H55" i="4" s="1"/>
  <c r="F42" i="4"/>
  <c r="G42" i="4"/>
  <c r="H42" i="4" s="1"/>
  <c r="F29" i="4"/>
  <c r="G29" i="4"/>
  <c r="H29" i="4" s="1"/>
  <c r="F16" i="4"/>
  <c r="G16" i="4"/>
  <c r="H16" i="4" s="1"/>
  <c r="B172" i="4"/>
  <c r="B159" i="4"/>
  <c r="B146" i="4"/>
  <c r="B133" i="4"/>
  <c r="B120" i="4"/>
  <c r="B107" i="4"/>
  <c r="B94" i="4"/>
  <c r="B81" i="4"/>
  <c r="B68" i="4"/>
  <c r="B55" i="4"/>
  <c r="B42" i="4"/>
  <c r="B29" i="4"/>
  <c r="B16" i="4"/>
  <c r="F159" i="5"/>
  <c r="G159" i="5"/>
  <c r="H159" i="5" s="1"/>
  <c r="G55" i="5"/>
  <c r="H55" i="5" s="1"/>
  <c r="B172" i="5"/>
  <c r="B159" i="5"/>
  <c r="B146" i="5"/>
  <c r="B133" i="5"/>
  <c r="B120" i="5"/>
  <c r="B107" i="5"/>
  <c r="B94" i="5"/>
  <c r="B81" i="5"/>
  <c r="B68" i="5"/>
  <c r="B55" i="5"/>
  <c r="B42" i="5"/>
  <c r="B29" i="5"/>
  <c r="B16" i="5"/>
  <c r="F171" i="3"/>
  <c r="G171" i="3"/>
  <c r="F158" i="3"/>
  <c r="G158" i="3"/>
  <c r="F145" i="3"/>
  <c r="G145" i="3"/>
  <c r="F132" i="3"/>
  <c r="G132" i="3"/>
  <c r="F119" i="3"/>
  <c r="G119" i="3"/>
  <c r="F106" i="3"/>
  <c r="G106" i="3"/>
  <c r="F93" i="3"/>
  <c r="G93" i="3"/>
  <c r="F80" i="3"/>
  <c r="G80" i="3"/>
  <c r="F67" i="3"/>
  <c r="G67" i="3"/>
  <c r="F54" i="3"/>
  <c r="G54" i="3"/>
  <c r="F41" i="3"/>
  <c r="G41" i="3"/>
  <c r="F28" i="3"/>
  <c r="G28" i="3"/>
  <c r="F15" i="3"/>
  <c r="G15" i="3"/>
  <c r="B171" i="3"/>
  <c r="B158" i="3"/>
  <c r="B145" i="3"/>
  <c r="B132" i="3"/>
  <c r="B119" i="3"/>
  <c r="B106" i="3"/>
  <c r="B93" i="3"/>
  <c r="B80" i="3"/>
  <c r="B67" i="3"/>
  <c r="B54" i="3"/>
  <c r="B41" i="3"/>
  <c r="B28" i="3"/>
  <c r="B15" i="3"/>
  <c r="N37" i="2"/>
  <c r="M37" i="2"/>
  <c r="L37" i="2"/>
  <c r="K37" i="2"/>
  <c r="J37" i="2"/>
  <c r="I37" i="2"/>
  <c r="H37" i="2"/>
  <c r="G37" i="2"/>
  <c r="F37" i="2"/>
  <c r="F44" i="2" s="1"/>
  <c r="E37" i="2"/>
  <c r="D37" i="2"/>
  <c r="C37" i="2"/>
  <c r="B37" i="2"/>
  <c r="N16" i="2"/>
  <c r="M16" i="2"/>
  <c r="L16" i="2"/>
  <c r="K16" i="2"/>
  <c r="J16" i="2"/>
  <c r="I16" i="2"/>
  <c r="H16" i="2"/>
  <c r="G16" i="2"/>
  <c r="O16" i="2" s="1"/>
  <c r="F16" i="2"/>
  <c r="E16" i="2"/>
  <c r="D16" i="2"/>
  <c r="C16" i="2"/>
  <c r="B16" i="2"/>
  <c r="A37" i="2"/>
  <c r="A16" i="2"/>
  <c r="F14" i="1"/>
  <c r="J14" i="1"/>
  <c r="F131" i="1"/>
  <c r="J131" i="1" s="1"/>
  <c r="H171" i="1"/>
  <c r="M171" i="1"/>
  <c r="I171" i="1"/>
  <c r="J171" i="1"/>
  <c r="G171" i="1"/>
  <c r="F171" i="1"/>
  <c r="E171" i="1"/>
  <c r="M158" i="1"/>
  <c r="I158" i="1"/>
  <c r="J158" i="1"/>
  <c r="F158" i="1"/>
  <c r="G158" i="1"/>
  <c r="H158" i="1" s="1"/>
  <c r="E158" i="1"/>
  <c r="M145" i="1"/>
  <c r="I145" i="1"/>
  <c r="J145" i="1"/>
  <c r="G145" i="1"/>
  <c r="F145" i="1"/>
  <c r="H145" i="1" s="1"/>
  <c r="E145" i="1"/>
  <c r="M132" i="1"/>
  <c r="I132" i="1"/>
  <c r="J132" i="1"/>
  <c r="G132" i="1"/>
  <c r="F132" i="1"/>
  <c r="H132" i="1" s="1"/>
  <c r="E132" i="1"/>
  <c r="H119" i="1"/>
  <c r="M119" i="1"/>
  <c r="I119" i="1"/>
  <c r="J119" i="1"/>
  <c r="G119" i="1"/>
  <c r="F119" i="1"/>
  <c r="E119" i="1"/>
  <c r="M106" i="1"/>
  <c r="I106" i="1"/>
  <c r="G106" i="1"/>
  <c r="F106" i="1"/>
  <c r="J106" i="1" s="1"/>
  <c r="E106" i="1"/>
  <c r="H93" i="1"/>
  <c r="M93" i="1"/>
  <c r="I93" i="1"/>
  <c r="J93" i="1"/>
  <c r="G93" i="1"/>
  <c r="F93" i="1"/>
  <c r="E93" i="1"/>
  <c r="M80" i="1"/>
  <c r="I80" i="1"/>
  <c r="G80" i="1"/>
  <c r="F80" i="1"/>
  <c r="H80" i="1" s="1"/>
  <c r="E80" i="1"/>
  <c r="M67" i="1"/>
  <c r="I67" i="1"/>
  <c r="G67" i="1"/>
  <c r="F67" i="1"/>
  <c r="H67" i="1" s="1"/>
  <c r="E67" i="1"/>
  <c r="H54" i="1"/>
  <c r="M54" i="1"/>
  <c r="I54" i="1"/>
  <c r="J54" i="1"/>
  <c r="G54" i="1"/>
  <c r="F54" i="1"/>
  <c r="E54" i="1"/>
  <c r="M41" i="1"/>
  <c r="I41" i="1"/>
  <c r="G41" i="1"/>
  <c r="F41" i="1"/>
  <c r="J41" i="1" s="1"/>
  <c r="E41" i="1"/>
  <c r="H28" i="1"/>
  <c r="M28" i="1"/>
  <c r="I28" i="1"/>
  <c r="G28" i="1"/>
  <c r="F28" i="1"/>
  <c r="J28" i="1" s="1"/>
  <c r="E28" i="1"/>
  <c r="M15" i="1"/>
  <c r="I15" i="1"/>
  <c r="G15" i="1"/>
  <c r="F15" i="1"/>
  <c r="H15" i="1" s="1"/>
  <c r="E15" i="1"/>
  <c r="B171" i="1"/>
  <c r="B158" i="1"/>
  <c r="B145" i="1"/>
  <c r="B132" i="1"/>
  <c r="B119" i="1"/>
  <c r="B106" i="1"/>
  <c r="B93" i="1"/>
  <c r="B80" i="1"/>
  <c r="B67" i="1"/>
  <c r="B54" i="1"/>
  <c r="B41" i="1"/>
  <c r="B28" i="1"/>
  <c r="B15" i="1"/>
  <c r="F171" i="4"/>
  <c r="G171" i="4"/>
  <c r="H171" i="4" s="1"/>
  <c r="F158" i="4"/>
  <c r="G158" i="4"/>
  <c r="H158" i="4" s="1"/>
  <c r="F145" i="4"/>
  <c r="G145" i="4"/>
  <c r="H145" i="4" s="1"/>
  <c r="F132" i="4"/>
  <c r="G132" i="4"/>
  <c r="H132" i="4" s="1"/>
  <c r="F119" i="4"/>
  <c r="G119" i="4"/>
  <c r="H119" i="4" s="1"/>
  <c r="F106" i="4"/>
  <c r="G106" i="4"/>
  <c r="H106" i="4" s="1"/>
  <c r="F93" i="4"/>
  <c r="G93" i="4"/>
  <c r="H93" i="4" s="1"/>
  <c r="F80" i="4"/>
  <c r="G80" i="4"/>
  <c r="H80" i="4" s="1"/>
  <c r="F67" i="4"/>
  <c r="G67" i="4"/>
  <c r="H67" i="4" s="1"/>
  <c r="F54" i="4"/>
  <c r="G54" i="4"/>
  <c r="H54" i="4" s="1"/>
  <c r="F41" i="4"/>
  <c r="G41" i="4"/>
  <c r="H41" i="4" s="1"/>
  <c r="F28" i="4"/>
  <c r="G28" i="4"/>
  <c r="H28" i="4" s="1"/>
  <c r="F15" i="4"/>
  <c r="G15" i="4"/>
  <c r="H15" i="4" s="1"/>
  <c r="B171" i="4"/>
  <c r="B158" i="4"/>
  <c r="B145" i="4"/>
  <c r="B132" i="4"/>
  <c r="B119" i="4"/>
  <c r="B106" i="4"/>
  <c r="B93" i="4"/>
  <c r="B80" i="4"/>
  <c r="B67" i="4"/>
  <c r="B54" i="4"/>
  <c r="B41" i="4"/>
  <c r="B28" i="4"/>
  <c r="B15" i="4"/>
  <c r="F158" i="5"/>
  <c r="G158" i="5"/>
  <c r="H158" i="5"/>
  <c r="G54" i="5"/>
  <c r="H54" i="5" s="1"/>
  <c r="B171" i="5"/>
  <c r="B158" i="5"/>
  <c r="B145" i="5"/>
  <c r="B132" i="5"/>
  <c r="B119" i="5"/>
  <c r="B106" i="5"/>
  <c r="B93" i="5"/>
  <c r="B80" i="5"/>
  <c r="B67" i="5"/>
  <c r="B54" i="5"/>
  <c r="B41" i="5"/>
  <c r="B28" i="5"/>
  <c r="B15" i="5"/>
  <c r="F170" i="3"/>
  <c r="G170" i="3"/>
  <c r="F157" i="3"/>
  <c r="G157" i="3"/>
  <c r="F144" i="3"/>
  <c r="G144" i="3"/>
  <c r="F131" i="3"/>
  <c r="G131" i="3"/>
  <c r="F118" i="3"/>
  <c r="G118" i="3"/>
  <c r="F105" i="3"/>
  <c r="G105" i="3"/>
  <c r="F92" i="3"/>
  <c r="G92" i="3"/>
  <c r="F79" i="3"/>
  <c r="G79" i="3"/>
  <c r="F66" i="3"/>
  <c r="G66" i="3"/>
  <c r="F53" i="3"/>
  <c r="G53" i="3"/>
  <c r="F40" i="3"/>
  <c r="G40" i="3"/>
  <c r="F27" i="3"/>
  <c r="G27" i="3"/>
  <c r="F14" i="3"/>
  <c r="G14" i="3"/>
  <c r="B170" i="3"/>
  <c r="B157" i="3"/>
  <c r="B144" i="3"/>
  <c r="B131" i="3"/>
  <c r="B118" i="3"/>
  <c r="B105" i="3"/>
  <c r="B92" i="3"/>
  <c r="B79" i="3"/>
  <c r="B66" i="3"/>
  <c r="B53" i="3"/>
  <c r="B40" i="3"/>
  <c r="B27" i="3"/>
  <c r="B14" i="3"/>
  <c r="N36" i="2"/>
  <c r="M36" i="2"/>
  <c r="L36" i="2"/>
  <c r="O36" i="2" s="1"/>
  <c r="K36" i="2"/>
  <c r="J36" i="2"/>
  <c r="I36" i="2"/>
  <c r="H36" i="2"/>
  <c r="G36" i="2"/>
  <c r="F36" i="2"/>
  <c r="E36" i="2"/>
  <c r="D36" i="2"/>
  <c r="C36" i="2"/>
  <c r="B36" i="2"/>
  <c r="N15" i="2"/>
  <c r="M15" i="2"/>
  <c r="M23" i="2" s="1"/>
  <c r="L15" i="2"/>
  <c r="K15" i="2"/>
  <c r="J15" i="2"/>
  <c r="I15" i="2"/>
  <c r="H15" i="2"/>
  <c r="G15" i="2"/>
  <c r="F15" i="2"/>
  <c r="E15" i="2"/>
  <c r="D15" i="2"/>
  <c r="C15" i="2"/>
  <c r="B15" i="2"/>
  <c r="A36" i="2"/>
  <c r="A15" i="2"/>
  <c r="F52" i="1"/>
  <c r="F101" i="1"/>
  <c r="G90" i="1"/>
  <c r="H170" i="1"/>
  <c r="M170" i="1"/>
  <c r="I170" i="1"/>
  <c r="G170" i="1"/>
  <c r="F170" i="1"/>
  <c r="J170" i="1" s="1"/>
  <c r="E170" i="1"/>
  <c r="M157" i="1"/>
  <c r="I157" i="1"/>
  <c r="G157" i="1"/>
  <c r="F157" i="1"/>
  <c r="H157" i="1" s="1"/>
  <c r="E157" i="1"/>
  <c r="M144" i="1"/>
  <c r="I144" i="1"/>
  <c r="G144" i="1"/>
  <c r="F144" i="1"/>
  <c r="H144" i="1" s="1"/>
  <c r="E144" i="1"/>
  <c r="M131" i="1"/>
  <c r="I131" i="1"/>
  <c r="G131" i="1"/>
  <c r="E131" i="1"/>
  <c r="M118" i="1"/>
  <c r="I118" i="1"/>
  <c r="G118" i="1"/>
  <c r="F118" i="1"/>
  <c r="H118" i="1" s="1"/>
  <c r="E118" i="1"/>
  <c r="M105" i="1"/>
  <c r="I105" i="1"/>
  <c r="J105" i="1"/>
  <c r="G105" i="1"/>
  <c r="F105" i="1"/>
  <c r="H105" i="1" s="1"/>
  <c r="E105" i="1"/>
  <c r="H92" i="1"/>
  <c r="M92" i="1"/>
  <c r="I92" i="1"/>
  <c r="J92" i="1"/>
  <c r="G92" i="1"/>
  <c r="F92" i="1"/>
  <c r="E92" i="1"/>
  <c r="M79" i="1"/>
  <c r="I79" i="1"/>
  <c r="G79" i="1"/>
  <c r="F79" i="1"/>
  <c r="H79" i="1" s="1"/>
  <c r="E79" i="1"/>
  <c r="H66" i="1"/>
  <c r="M66" i="1"/>
  <c r="I66" i="1"/>
  <c r="J66" i="1"/>
  <c r="G66" i="1"/>
  <c r="F66" i="1"/>
  <c r="E66" i="1"/>
  <c r="M53" i="1"/>
  <c r="I53" i="1"/>
  <c r="G53" i="1"/>
  <c r="F53" i="1"/>
  <c r="H53" i="1" s="1"/>
  <c r="E53" i="1"/>
  <c r="M40" i="1"/>
  <c r="I40" i="1"/>
  <c r="G40" i="1"/>
  <c r="F40" i="1"/>
  <c r="H40" i="1" s="1"/>
  <c r="E40" i="1"/>
  <c r="M27" i="1"/>
  <c r="I27" i="1"/>
  <c r="J27" i="1"/>
  <c r="G27" i="1"/>
  <c r="F27" i="1"/>
  <c r="H27" i="1" s="1"/>
  <c r="E27" i="1"/>
  <c r="H14" i="1"/>
  <c r="M14" i="1"/>
  <c r="I14" i="1"/>
  <c r="G14" i="1"/>
  <c r="E14" i="1"/>
  <c r="B170" i="1"/>
  <c r="B157" i="1"/>
  <c r="B144" i="1"/>
  <c r="B131" i="1"/>
  <c r="B118" i="1"/>
  <c r="B105" i="1"/>
  <c r="B92" i="1"/>
  <c r="B79" i="1"/>
  <c r="B66" i="1"/>
  <c r="B53" i="1"/>
  <c r="B40" i="1"/>
  <c r="B27" i="1"/>
  <c r="B14" i="1"/>
  <c r="F170" i="4"/>
  <c r="G170" i="4"/>
  <c r="H170" i="4"/>
  <c r="F157" i="4"/>
  <c r="G157" i="4"/>
  <c r="H157" i="4"/>
  <c r="F144" i="4"/>
  <c r="G144" i="4"/>
  <c r="H144" i="4"/>
  <c r="F131" i="4"/>
  <c r="G131" i="4"/>
  <c r="H131" i="4" s="1"/>
  <c r="F118" i="4"/>
  <c r="G118" i="4"/>
  <c r="H118" i="4"/>
  <c r="F105" i="4"/>
  <c r="G105" i="4"/>
  <c r="H105" i="4"/>
  <c r="F92" i="4"/>
  <c r="G92" i="4"/>
  <c r="H92" i="4"/>
  <c r="F79" i="4"/>
  <c r="G79" i="4"/>
  <c r="H79" i="4" s="1"/>
  <c r="F66" i="4"/>
  <c r="G66" i="4"/>
  <c r="H66" i="4"/>
  <c r="F53" i="4"/>
  <c r="G53" i="4"/>
  <c r="H53" i="4"/>
  <c r="F40" i="4"/>
  <c r="G40" i="4"/>
  <c r="H40" i="4"/>
  <c r="F27" i="4"/>
  <c r="G27" i="4"/>
  <c r="H27" i="4" s="1"/>
  <c r="F14" i="4"/>
  <c r="G14" i="4"/>
  <c r="H14" i="4"/>
  <c r="B170" i="4"/>
  <c r="B157" i="4"/>
  <c r="B144" i="4"/>
  <c r="B131" i="4"/>
  <c r="B118" i="4"/>
  <c r="B105" i="4"/>
  <c r="B92" i="4"/>
  <c r="B79" i="4"/>
  <c r="B66" i="4"/>
  <c r="B53" i="4"/>
  <c r="B40" i="4"/>
  <c r="B27" i="4"/>
  <c r="B14" i="4"/>
  <c r="F157" i="5"/>
  <c r="G157" i="5"/>
  <c r="H157" i="5"/>
  <c r="G53" i="5"/>
  <c r="H53" i="5"/>
  <c r="F14" i="5"/>
  <c r="G14" i="5"/>
  <c r="H14" i="5" s="1"/>
  <c r="B170" i="5"/>
  <c r="B157" i="5"/>
  <c r="B144" i="5"/>
  <c r="B131" i="5"/>
  <c r="B118" i="5"/>
  <c r="B105" i="5"/>
  <c r="B92" i="5"/>
  <c r="B79" i="5"/>
  <c r="B66" i="5"/>
  <c r="B53" i="5"/>
  <c r="B40" i="5"/>
  <c r="B27" i="5"/>
  <c r="B14" i="5"/>
  <c r="F169" i="3"/>
  <c r="G169" i="3"/>
  <c r="F156" i="3"/>
  <c r="G156" i="3"/>
  <c r="F143" i="3"/>
  <c r="G143" i="3"/>
  <c r="F130" i="3"/>
  <c r="G130" i="3"/>
  <c r="F117" i="3"/>
  <c r="G117" i="3"/>
  <c r="F104" i="3"/>
  <c r="G104" i="3"/>
  <c r="F91" i="3"/>
  <c r="G91" i="3"/>
  <c r="F78" i="3"/>
  <c r="G78" i="3"/>
  <c r="F65" i="3"/>
  <c r="G65" i="3"/>
  <c r="F52" i="3"/>
  <c r="G52" i="3"/>
  <c r="F39" i="3"/>
  <c r="G39" i="3"/>
  <c r="F26" i="3"/>
  <c r="G26" i="3"/>
  <c r="F13" i="3"/>
  <c r="G13" i="3"/>
  <c r="B169" i="3"/>
  <c r="B156" i="3"/>
  <c r="B143" i="3"/>
  <c r="B130" i="3"/>
  <c r="B117" i="3"/>
  <c r="B104" i="3"/>
  <c r="B91" i="3"/>
  <c r="B78" i="3"/>
  <c r="B65" i="3"/>
  <c r="B52" i="3"/>
  <c r="B39" i="3"/>
  <c r="B26" i="3"/>
  <c r="B13" i="3"/>
  <c r="N35" i="2"/>
  <c r="M35" i="2"/>
  <c r="L35" i="2"/>
  <c r="K35" i="2"/>
  <c r="J35" i="2"/>
  <c r="I35" i="2"/>
  <c r="H35" i="2"/>
  <c r="G35" i="2"/>
  <c r="F35" i="2"/>
  <c r="E35" i="2"/>
  <c r="D35" i="2"/>
  <c r="O35" i="2" s="1"/>
  <c r="C35" i="2"/>
  <c r="B35" i="2"/>
  <c r="A35" i="2"/>
  <c r="N14" i="2"/>
  <c r="M14" i="2"/>
  <c r="L14" i="2"/>
  <c r="K14" i="2"/>
  <c r="J14" i="2"/>
  <c r="I14" i="2"/>
  <c r="H14" i="2"/>
  <c r="G14" i="2"/>
  <c r="F14" i="2"/>
  <c r="F23" i="2" s="1"/>
  <c r="E14" i="2"/>
  <c r="D14" i="2"/>
  <c r="C14" i="2"/>
  <c r="B14" i="2"/>
  <c r="A14" i="2"/>
  <c r="F24" i="1"/>
  <c r="F33" i="1" s="1"/>
  <c r="F25" i="1"/>
  <c r="M169" i="1"/>
  <c r="I169" i="1"/>
  <c r="J169" i="1"/>
  <c r="G169" i="1"/>
  <c r="F169" i="1"/>
  <c r="H169" i="1" s="1"/>
  <c r="E169" i="1"/>
  <c r="H156" i="1"/>
  <c r="M156" i="1"/>
  <c r="I156" i="1"/>
  <c r="J156" i="1"/>
  <c r="G156" i="1"/>
  <c r="F156" i="1"/>
  <c r="E156" i="1"/>
  <c r="M143" i="1"/>
  <c r="I143" i="1"/>
  <c r="G143" i="1"/>
  <c r="F143" i="1"/>
  <c r="J143" i="1" s="1"/>
  <c r="E143" i="1"/>
  <c r="H130" i="1"/>
  <c r="M130" i="1"/>
  <c r="I130" i="1"/>
  <c r="G130" i="1"/>
  <c r="F130" i="1"/>
  <c r="J130" i="1" s="1"/>
  <c r="E130" i="1"/>
  <c r="M117" i="1"/>
  <c r="I117" i="1"/>
  <c r="G117" i="1"/>
  <c r="F117" i="1"/>
  <c r="H117" i="1" s="1"/>
  <c r="E117" i="1"/>
  <c r="M104" i="1"/>
  <c r="I104" i="1"/>
  <c r="G104" i="1"/>
  <c r="F104" i="1"/>
  <c r="J104" i="1" s="1"/>
  <c r="E104" i="1"/>
  <c r="H91" i="1"/>
  <c r="M91" i="1"/>
  <c r="I91" i="1"/>
  <c r="J91" i="1"/>
  <c r="G91" i="1"/>
  <c r="E91" i="1"/>
  <c r="M78" i="1"/>
  <c r="I78" i="1"/>
  <c r="J78" i="1"/>
  <c r="G78" i="1"/>
  <c r="F78" i="1"/>
  <c r="H78" i="1" s="1"/>
  <c r="E78" i="1"/>
  <c r="H65" i="1"/>
  <c r="M65" i="1"/>
  <c r="I65" i="1"/>
  <c r="J65" i="1"/>
  <c r="G65" i="1"/>
  <c r="F65" i="1"/>
  <c r="E65" i="1"/>
  <c r="M52" i="1"/>
  <c r="I52" i="1"/>
  <c r="G52" i="1"/>
  <c r="H52" i="1" s="1"/>
  <c r="E52" i="1"/>
  <c r="H39" i="1"/>
  <c r="M39" i="1"/>
  <c r="I39" i="1"/>
  <c r="J39" i="1"/>
  <c r="G39" i="1"/>
  <c r="F39" i="1"/>
  <c r="E39" i="1"/>
  <c r="M26" i="1"/>
  <c r="I26" i="1"/>
  <c r="G26" i="1"/>
  <c r="F26" i="1"/>
  <c r="J26" i="1" s="1"/>
  <c r="E26" i="1"/>
  <c r="H13" i="1"/>
  <c r="M13" i="1"/>
  <c r="I13" i="1"/>
  <c r="G13" i="1"/>
  <c r="F13" i="1"/>
  <c r="J13" i="1" s="1"/>
  <c r="E13" i="1"/>
  <c r="B169" i="1"/>
  <c r="B156" i="1"/>
  <c r="B143" i="1"/>
  <c r="B130" i="1"/>
  <c r="B117" i="1"/>
  <c r="B104" i="1"/>
  <c r="B91" i="1"/>
  <c r="B78" i="1"/>
  <c r="B65" i="1"/>
  <c r="B52" i="1"/>
  <c r="B39" i="1"/>
  <c r="B26" i="1"/>
  <c r="B13" i="1"/>
  <c r="F169" i="4"/>
  <c r="G169" i="4"/>
  <c r="H169" i="4"/>
  <c r="F156" i="4"/>
  <c r="G156" i="4"/>
  <c r="H156" i="4" s="1"/>
  <c r="F143" i="4"/>
  <c r="G143" i="4"/>
  <c r="H143" i="4"/>
  <c r="F130" i="4"/>
  <c r="G130" i="4"/>
  <c r="H130" i="4" s="1"/>
  <c r="F117" i="4"/>
  <c r="G117" i="4"/>
  <c r="H117" i="4"/>
  <c r="F104" i="4"/>
  <c r="G104" i="4"/>
  <c r="H104" i="4" s="1"/>
  <c r="F91" i="4"/>
  <c r="G91" i="4"/>
  <c r="H91" i="4"/>
  <c r="F78" i="4"/>
  <c r="G78" i="4"/>
  <c r="H78" i="4" s="1"/>
  <c r="F65" i="4"/>
  <c r="G65" i="4"/>
  <c r="H65" i="4"/>
  <c r="F52" i="4"/>
  <c r="G52" i="4"/>
  <c r="H52" i="4" s="1"/>
  <c r="F39" i="4"/>
  <c r="G39" i="4"/>
  <c r="H39" i="4"/>
  <c r="F26" i="4"/>
  <c r="G26" i="4"/>
  <c r="H26" i="4" s="1"/>
  <c r="G13" i="4"/>
  <c r="H13" i="4"/>
  <c r="F13" i="4"/>
  <c r="B169" i="4"/>
  <c r="B156" i="4"/>
  <c r="B143" i="4"/>
  <c r="B130" i="4"/>
  <c r="B117" i="4"/>
  <c r="B104" i="4"/>
  <c r="B91" i="4"/>
  <c r="B78" i="4"/>
  <c r="B65" i="4"/>
  <c r="B52" i="4"/>
  <c r="B39" i="4"/>
  <c r="B26" i="4"/>
  <c r="B13" i="4"/>
  <c r="G13" i="5"/>
  <c r="H13" i="5" s="1"/>
  <c r="G52" i="5"/>
  <c r="H52" i="5" s="1"/>
  <c r="G156" i="5"/>
  <c r="H156" i="5" s="1"/>
  <c r="F156" i="5"/>
  <c r="B169" i="5"/>
  <c r="B156" i="5"/>
  <c r="B143" i="5"/>
  <c r="B130" i="5"/>
  <c r="B117" i="5"/>
  <c r="B104" i="5"/>
  <c r="B91" i="5"/>
  <c r="B78" i="5"/>
  <c r="B65" i="5"/>
  <c r="B52" i="5"/>
  <c r="B39" i="5"/>
  <c r="B26" i="5"/>
  <c r="B13" i="5"/>
  <c r="F168" i="3"/>
  <c r="G168" i="3"/>
  <c r="F155" i="3"/>
  <c r="G155" i="3"/>
  <c r="F142" i="3"/>
  <c r="G142" i="3"/>
  <c r="F129" i="3"/>
  <c r="G129" i="3"/>
  <c r="F116" i="3"/>
  <c r="G116" i="3"/>
  <c r="F103" i="3"/>
  <c r="G103" i="3"/>
  <c r="F90" i="3"/>
  <c r="G90" i="3"/>
  <c r="F77" i="3"/>
  <c r="G77" i="3"/>
  <c r="F64" i="3"/>
  <c r="G64" i="3"/>
  <c r="F51" i="3"/>
  <c r="G51" i="3"/>
  <c r="F38" i="3"/>
  <c r="G38" i="3"/>
  <c r="F25" i="3"/>
  <c r="G25" i="3"/>
  <c r="G12" i="3"/>
  <c r="F12" i="3"/>
  <c r="B168" i="3"/>
  <c r="B155" i="3"/>
  <c r="B142" i="3"/>
  <c r="B129" i="3"/>
  <c r="B116" i="3"/>
  <c r="B103" i="3"/>
  <c r="B90" i="3"/>
  <c r="B77" i="3"/>
  <c r="B64" i="3"/>
  <c r="B51" i="3"/>
  <c r="B38" i="3"/>
  <c r="B25" i="3"/>
  <c r="B12" i="3"/>
  <c r="N34" i="2"/>
  <c r="M34" i="2"/>
  <c r="L34" i="2"/>
  <c r="K34" i="2"/>
  <c r="J34" i="2"/>
  <c r="I34" i="2"/>
  <c r="H34" i="2"/>
  <c r="G34" i="2"/>
  <c r="O34" i="2" s="1"/>
  <c r="F34" i="2"/>
  <c r="E34" i="2"/>
  <c r="D34" i="2"/>
  <c r="C34" i="2"/>
  <c r="B34" i="2"/>
  <c r="N13" i="2"/>
  <c r="M13" i="2"/>
  <c r="L13" i="2"/>
  <c r="K13" i="2"/>
  <c r="J13" i="2"/>
  <c r="I13" i="2"/>
  <c r="H13" i="2"/>
  <c r="H23" i="2" s="1"/>
  <c r="G13" i="2"/>
  <c r="F13" i="2"/>
  <c r="E13" i="2"/>
  <c r="D13" i="2"/>
  <c r="C13" i="2"/>
  <c r="B13" i="2"/>
  <c r="B23" i="2" s="1"/>
  <c r="A34" i="2"/>
  <c r="A13" i="2"/>
  <c r="F37" i="1"/>
  <c r="F89" i="1"/>
  <c r="J89" i="1" s="1"/>
  <c r="H168" i="1"/>
  <c r="M168" i="1"/>
  <c r="I168" i="1"/>
  <c r="J168" i="1"/>
  <c r="G168" i="1"/>
  <c r="F168" i="1"/>
  <c r="E168" i="1"/>
  <c r="M155" i="1"/>
  <c r="I155" i="1"/>
  <c r="G155" i="1"/>
  <c r="F155" i="1"/>
  <c r="H155" i="1" s="1"/>
  <c r="E155" i="1"/>
  <c r="M142" i="1"/>
  <c r="I142" i="1"/>
  <c r="J142" i="1"/>
  <c r="G142" i="1"/>
  <c r="F142" i="1"/>
  <c r="H142" i="1" s="1"/>
  <c r="E142" i="1"/>
  <c r="M129" i="1"/>
  <c r="I129" i="1"/>
  <c r="J129" i="1"/>
  <c r="G129" i="1"/>
  <c r="F129" i="1"/>
  <c r="H129" i="1" s="1"/>
  <c r="E129" i="1"/>
  <c r="H116" i="1"/>
  <c r="M116" i="1"/>
  <c r="I116" i="1"/>
  <c r="J116" i="1"/>
  <c r="G116" i="1"/>
  <c r="F116" i="1"/>
  <c r="E116" i="1"/>
  <c r="M103" i="1"/>
  <c r="I103" i="1"/>
  <c r="G103" i="1"/>
  <c r="F103" i="1"/>
  <c r="J103" i="1" s="1"/>
  <c r="E103" i="1"/>
  <c r="M90" i="1"/>
  <c r="I90" i="1"/>
  <c r="F90" i="1"/>
  <c r="J90" i="1" s="1"/>
  <c r="E90" i="1"/>
  <c r="H77" i="1"/>
  <c r="M77" i="1"/>
  <c r="I77" i="1"/>
  <c r="J77" i="1"/>
  <c r="G77" i="1"/>
  <c r="F77" i="1"/>
  <c r="E77" i="1"/>
  <c r="M64" i="1"/>
  <c r="I64" i="1"/>
  <c r="G64" i="1"/>
  <c r="F64" i="1"/>
  <c r="H64" i="1" s="1"/>
  <c r="E64" i="1"/>
  <c r="M51" i="1"/>
  <c r="I51" i="1"/>
  <c r="J51" i="1"/>
  <c r="G51" i="1"/>
  <c r="G59" i="1" s="1"/>
  <c r="F51" i="1"/>
  <c r="H51" i="1" s="1"/>
  <c r="E51" i="1"/>
  <c r="M38" i="1"/>
  <c r="I38" i="1"/>
  <c r="J38" i="1"/>
  <c r="G38" i="1"/>
  <c r="F38" i="1"/>
  <c r="H38" i="1" s="1"/>
  <c r="E38" i="1"/>
  <c r="M25" i="1"/>
  <c r="I25" i="1"/>
  <c r="G25" i="1"/>
  <c r="H25" i="1" s="1"/>
  <c r="E25" i="1"/>
  <c r="M12" i="1"/>
  <c r="I12" i="1"/>
  <c r="E12" i="1"/>
  <c r="G12" i="1"/>
  <c r="F12" i="1"/>
  <c r="H12" i="1" s="1"/>
  <c r="B168" i="1"/>
  <c r="B155" i="1"/>
  <c r="B142" i="1"/>
  <c r="B129" i="1"/>
  <c r="B116" i="1"/>
  <c r="B103" i="1"/>
  <c r="B90" i="1"/>
  <c r="B77" i="1"/>
  <c r="B64" i="1"/>
  <c r="B51" i="1"/>
  <c r="B38" i="1"/>
  <c r="B25" i="1"/>
  <c r="B12" i="1"/>
  <c r="G168" i="4"/>
  <c r="H168" i="4" s="1"/>
  <c r="F168" i="4"/>
  <c r="G155" i="4"/>
  <c r="H155" i="4" s="1"/>
  <c r="F155" i="4"/>
  <c r="G142" i="4"/>
  <c r="H142" i="4" s="1"/>
  <c r="F142" i="4"/>
  <c r="G129" i="4"/>
  <c r="H129" i="4" s="1"/>
  <c r="F129" i="4"/>
  <c r="G116" i="4"/>
  <c r="H116" i="4" s="1"/>
  <c r="F116" i="4"/>
  <c r="G103" i="4"/>
  <c r="H103" i="4" s="1"/>
  <c r="F103" i="4"/>
  <c r="G90" i="4"/>
  <c r="H90" i="4" s="1"/>
  <c r="F90" i="4"/>
  <c r="G77" i="4"/>
  <c r="H77" i="4" s="1"/>
  <c r="F77" i="4"/>
  <c r="G64" i="4"/>
  <c r="H64" i="4" s="1"/>
  <c r="F64" i="4"/>
  <c r="G51" i="4"/>
  <c r="H51" i="4" s="1"/>
  <c r="F51" i="4"/>
  <c r="G38" i="4"/>
  <c r="H38" i="4" s="1"/>
  <c r="F38" i="4"/>
  <c r="G25" i="4"/>
  <c r="H25" i="4" s="1"/>
  <c r="F25" i="4"/>
  <c r="H12" i="4"/>
  <c r="G12" i="4"/>
  <c r="F12" i="4"/>
  <c r="B168" i="4"/>
  <c r="B155" i="4"/>
  <c r="B142" i="4"/>
  <c r="B129" i="4"/>
  <c r="B116" i="4"/>
  <c r="B103" i="4"/>
  <c r="B90" i="4"/>
  <c r="B77" i="4"/>
  <c r="B64" i="4"/>
  <c r="B51" i="4"/>
  <c r="B38" i="4"/>
  <c r="B25" i="4"/>
  <c r="B12" i="4"/>
  <c r="G155" i="5"/>
  <c r="H155" i="5" s="1"/>
  <c r="F155" i="5"/>
  <c r="G51" i="5"/>
  <c r="H51" i="5"/>
  <c r="G12" i="5"/>
  <c r="H12" i="5" s="1"/>
  <c r="B168" i="5"/>
  <c r="B155" i="5"/>
  <c r="B142" i="5"/>
  <c r="B129" i="5"/>
  <c r="B116" i="5"/>
  <c r="B103" i="5"/>
  <c r="B90" i="5"/>
  <c r="B77" i="5"/>
  <c r="B64" i="5"/>
  <c r="B51" i="5"/>
  <c r="B38" i="5"/>
  <c r="B25" i="5"/>
  <c r="B12" i="5"/>
  <c r="G167" i="3"/>
  <c r="F167" i="3"/>
  <c r="G154" i="3"/>
  <c r="F154" i="3"/>
  <c r="G141" i="3"/>
  <c r="F141" i="3"/>
  <c r="G128" i="3"/>
  <c r="F128" i="3"/>
  <c r="G115" i="3"/>
  <c r="F115" i="3"/>
  <c r="G102" i="3"/>
  <c r="F102" i="3"/>
  <c r="G89" i="3"/>
  <c r="F89" i="3"/>
  <c r="G76" i="3"/>
  <c r="F76" i="3"/>
  <c r="G63" i="3"/>
  <c r="F63" i="3"/>
  <c r="G50" i="3"/>
  <c r="F50" i="3"/>
  <c r="G37" i="3"/>
  <c r="F37" i="3"/>
  <c r="G24" i="3"/>
  <c r="F24" i="3"/>
  <c r="G11" i="3"/>
  <c r="F11" i="3"/>
  <c r="B167" i="3"/>
  <c r="B154" i="3"/>
  <c r="B141" i="3"/>
  <c r="B128" i="3"/>
  <c r="B115" i="3"/>
  <c r="B102" i="3"/>
  <c r="B89" i="3"/>
  <c r="B76" i="3"/>
  <c r="B63" i="3"/>
  <c r="B50" i="3"/>
  <c r="B37" i="3"/>
  <c r="B24" i="3"/>
  <c r="B11" i="3"/>
  <c r="N33" i="2"/>
  <c r="M33" i="2"/>
  <c r="L33" i="2"/>
  <c r="K33" i="2"/>
  <c r="J33" i="2"/>
  <c r="I33" i="2"/>
  <c r="I44" i="2" s="1"/>
  <c r="H33" i="2"/>
  <c r="G33" i="2"/>
  <c r="F33" i="2"/>
  <c r="E33" i="2"/>
  <c r="D33" i="2"/>
  <c r="C33" i="2"/>
  <c r="O33" i="2" s="1"/>
  <c r="B33" i="2"/>
  <c r="N12" i="2"/>
  <c r="M12" i="2"/>
  <c r="L12" i="2"/>
  <c r="K12" i="2"/>
  <c r="J12" i="2"/>
  <c r="J23" i="2" s="1"/>
  <c r="I12" i="2"/>
  <c r="H12" i="2"/>
  <c r="G12" i="2"/>
  <c r="F12" i="2"/>
  <c r="E12" i="2"/>
  <c r="D12" i="2"/>
  <c r="D23" i="2" s="1"/>
  <c r="C12" i="2"/>
  <c r="B12" i="2"/>
  <c r="A33" i="2"/>
  <c r="A12" i="2"/>
  <c r="F75" i="1"/>
  <c r="F85" i="1"/>
  <c r="H85" i="1" s="1"/>
  <c r="M167" i="1"/>
  <c r="J167" i="1"/>
  <c r="I167" i="1"/>
  <c r="E167" i="1"/>
  <c r="G167" i="1"/>
  <c r="H167" i="1" s="1"/>
  <c r="F167" i="1"/>
  <c r="M154" i="1"/>
  <c r="J154" i="1"/>
  <c r="I154" i="1"/>
  <c r="H154" i="1"/>
  <c r="E154" i="1"/>
  <c r="G154" i="1"/>
  <c r="F154" i="1"/>
  <c r="M141" i="1"/>
  <c r="I141" i="1"/>
  <c r="E141" i="1"/>
  <c r="G141" i="1"/>
  <c r="F141" i="1"/>
  <c r="J141" i="1" s="1"/>
  <c r="M128" i="1"/>
  <c r="J128" i="1"/>
  <c r="I128" i="1"/>
  <c r="E128" i="1"/>
  <c r="G128" i="1"/>
  <c r="F128" i="1"/>
  <c r="H128" i="1" s="1"/>
  <c r="M115" i="1"/>
  <c r="I115" i="1"/>
  <c r="E115" i="1"/>
  <c r="G115" i="1"/>
  <c r="F115" i="1"/>
  <c r="J115" i="1" s="1"/>
  <c r="M102" i="1"/>
  <c r="I102" i="1"/>
  <c r="E102" i="1"/>
  <c r="G102" i="1"/>
  <c r="H102" i="1" s="1"/>
  <c r="F102" i="1"/>
  <c r="J102" i="1" s="1"/>
  <c r="M89" i="1"/>
  <c r="I89" i="1"/>
  <c r="E89" i="1"/>
  <c r="G89" i="1"/>
  <c r="M76" i="1"/>
  <c r="I76" i="1"/>
  <c r="E76" i="1"/>
  <c r="G76" i="1"/>
  <c r="F76" i="1"/>
  <c r="J76" i="1" s="1"/>
  <c r="M63" i="1"/>
  <c r="I63" i="1"/>
  <c r="E63" i="1"/>
  <c r="G63" i="1"/>
  <c r="H63" i="1" s="1"/>
  <c r="F63" i="1"/>
  <c r="J63" i="1" s="1"/>
  <c r="M50" i="1"/>
  <c r="J50" i="1"/>
  <c r="I50" i="1"/>
  <c r="E50" i="1"/>
  <c r="G50" i="1"/>
  <c r="H50" i="1" s="1"/>
  <c r="F50" i="1"/>
  <c r="M37" i="1"/>
  <c r="J37" i="1"/>
  <c r="I37" i="1"/>
  <c r="E37" i="1"/>
  <c r="G37" i="1"/>
  <c r="H37" i="1" s="1"/>
  <c r="M24" i="1"/>
  <c r="I24" i="1"/>
  <c r="E24" i="1"/>
  <c r="G24" i="1"/>
  <c r="M11" i="1"/>
  <c r="I11" i="1"/>
  <c r="E11" i="1"/>
  <c r="G11" i="1"/>
  <c r="H11" i="1" s="1"/>
  <c r="F11" i="1"/>
  <c r="J11" i="1" s="1"/>
  <c r="B167" i="1"/>
  <c r="B154" i="1"/>
  <c r="B141" i="1"/>
  <c r="B128" i="1"/>
  <c r="B115" i="1"/>
  <c r="B102" i="1"/>
  <c r="B89" i="1"/>
  <c r="B76" i="1"/>
  <c r="B63" i="1"/>
  <c r="B50" i="1"/>
  <c r="B37" i="1"/>
  <c r="B24" i="1"/>
  <c r="B11" i="1"/>
  <c r="G167" i="4"/>
  <c r="H167" i="4" s="1"/>
  <c r="F167" i="4"/>
  <c r="G154" i="4"/>
  <c r="H154" i="4" s="1"/>
  <c r="F154" i="4"/>
  <c r="G141" i="4"/>
  <c r="H141" i="4"/>
  <c r="F141" i="4"/>
  <c r="G128" i="4"/>
  <c r="H128" i="4" s="1"/>
  <c r="F128" i="4"/>
  <c r="G115" i="4"/>
  <c r="H115" i="4"/>
  <c r="F115" i="4"/>
  <c r="H102" i="4"/>
  <c r="G102" i="4"/>
  <c r="F102" i="4"/>
  <c r="G89" i="4"/>
  <c r="H89" i="4"/>
  <c r="F89" i="4"/>
  <c r="G76" i="4"/>
  <c r="H76" i="4" s="1"/>
  <c r="F76" i="4"/>
  <c r="G63" i="4"/>
  <c r="H63" i="4"/>
  <c r="F63" i="4"/>
  <c r="G50" i="4"/>
  <c r="H50" i="4" s="1"/>
  <c r="F50" i="4"/>
  <c r="G37" i="4"/>
  <c r="H37" i="4"/>
  <c r="F37" i="4"/>
  <c r="G24" i="4"/>
  <c r="H24" i="4" s="1"/>
  <c r="F24" i="4"/>
  <c r="G11" i="4"/>
  <c r="H11" i="4"/>
  <c r="F11" i="4"/>
  <c r="B167" i="4"/>
  <c r="B154" i="4"/>
  <c r="B141" i="4"/>
  <c r="B128" i="4"/>
  <c r="B115" i="4"/>
  <c r="B102" i="4"/>
  <c r="B89" i="4"/>
  <c r="B76" i="4"/>
  <c r="B63" i="4"/>
  <c r="B50" i="4"/>
  <c r="B37" i="4"/>
  <c r="B24" i="4"/>
  <c r="B11" i="4"/>
  <c r="G11" i="5"/>
  <c r="H11" i="5" s="1"/>
  <c r="G50" i="5"/>
  <c r="H50" i="5"/>
  <c r="G154" i="5"/>
  <c r="H154" i="5"/>
  <c r="F154" i="5"/>
  <c r="B167" i="5"/>
  <c r="B154" i="5"/>
  <c r="B141" i="5"/>
  <c r="B128" i="5"/>
  <c r="B115" i="5"/>
  <c r="B102" i="5"/>
  <c r="B89" i="5"/>
  <c r="B76" i="5"/>
  <c r="B63" i="5"/>
  <c r="B50" i="5"/>
  <c r="B37" i="5"/>
  <c r="B24" i="5"/>
  <c r="B11" i="5"/>
  <c r="G166" i="3"/>
  <c r="F166" i="3"/>
  <c r="G153" i="3"/>
  <c r="F153" i="3"/>
  <c r="G140" i="3"/>
  <c r="F140" i="3"/>
  <c r="G127" i="3"/>
  <c r="F127" i="3"/>
  <c r="G114" i="3"/>
  <c r="F114" i="3"/>
  <c r="G101" i="3"/>
  <c r="F101" i="3"/>
  <c r="G88" i="3"/>
  <c r="F88" i="3"/>
  <c r="G75" i="3"/>
  <c r="F75" i="3"/>
  <c r="G62" i="3"/>
  <c r="F62" i="3"/>
  <c r="G49" i="3"/>
  <c r="F49" i="3"/>
  <c r="G36" i="3"/>
  <c r="F36" i="3"/>
  <c r="G23" i="3"/>
  <c r="F23" i="3"/>
  <c r="G10" i="3"/>
  <c r="F10" i="3"/>
  <c r="B166" i="3"/>
  <c r="B153" i="3"/>
  <c r="B140" i="3"/>
  <c r="B127" i="3"/>
  <c r="B114" i="3"/>
  <c r="B101" i="3"/>
  <c r="B88" i="3"/>
  <c r="B75" i="3"/>
  <c r="B62" i="3"/>
  <c r="B49" i="3"/>
  <c r="B36" i="3"/>
  <c r="B23" i="3"/>
  <c r="B10" i="3"/>
  <c r="N32" i="2"/>
  <c r="N44" i="2" s="1"/>
  <c r="M32" i="2"/>
  <c r="L32" i="2"/>
  <c r="K32" i="2"/>
  <c r="J32" i="2"/>
  <c r="I32" i="2"/>
  <c r="H32" i="2"/>
  <c r="G32" i="2"/>
  <c r="F32" i="2"/>
  <c r="E32" i="2"/>
  <c r="D32" i="2"/>
  <c r="C32" i="2"/>
  <c r="B32" i="2"/>
  <c r="O32" i="2" s="1"/>
  <c r="N11" i="2"/>
  <c r="M11" i="2"/>
  <c r="L11" i="2"/>
  <c r="K11" i="2"/>
  <c r="J11" i="2"/>
  <c r="I11" i="2"/>
  <c r="H11" i="2"/>
  <c r="G11" i="2"/>
  <c r="F11" i="2"/>
  <c r="E11" i="2"/>
  <c r="D11" i="2"/>
  <c r="C11" i="2"/>
  <c r="O11" i="2" s="1"/>
  <c r="B11" i="2"/>
  <c r="A32" i="2"/>
  <c r="A11" i="2"/>
  <c r="F152" i="1"/>
  <c r="F163" i="1" s="1"/>
  <c r="H163" i="1" s="1"/>
  <c r="F126" i="1"/>
  <c r="J126" i="1"/>
  <c r="F9" i="1"/>
  <c r="H9" i="1" s="1"/>
  <c r="M166" i="1"/>
  <c r="J166" i="1"/>
  <c r="I166" i="1"/>
  <c r="H166" i="1"/>
  <c r="E166" i="1"/>
  <c r="G166" i="1"/>
  <c r="F166" i="1"/>
  <c r="M153" i="1"/>
  <c r="I153" i="1"/>
  <c r="E153" i="1"/>
  <c r="G153" i="1"/>
  <c r="F153" i="1"/>
  <c r="H153" i="1" s="1"/>
  <c r="M140" i="1"/>
  <c r="J140" i="1"/>
  <c r="I140" i="1"/>
  <c r="E140" i="1"/>
  <c r="G140" i="1"/>
  <c r="H140" i="1" s="1"/>
  <c r="F140" i="1"/>
  <c r="M127" i="1"/>
  <c r="I127" i="1"/>
  <c r="E127" i="1"/>
  <c r="G127" i="1"/>
  <c r="F127" i="1"/>
  <c r="J127" i="1" s="1"/>
  <c r="M114" i="1"/>
  <c r="I114" i="1"/>
  <c r="E114" i="1"/>
  <c r="G114" i="1"/>
  <c r="H114" i="1" s="1"/>
  <c r="F114" i="1"/>
  <c r="J114" i="1" s="1"/>
  <c r="M101" i="1"/>
  <c r="I101" i="1"/>
  <c r="E101" i="1"/>
  <c r="G101" i="1"/>
  <c r="M88" i="1"/>
  <c r="I88" i="1"/>
  <c r="E88" i="1"/>
  <c r="G88" i="1"/>
  <c r="F88" i="1"/>
  <c r="J88" i="1" s="1"/>
  <c r="M75" i="1"/>
  <c r="I75" i="1"/>
  <c r="E75" i="1"/>
  <c r="G75" i="1"/>
  <c r="H75" i="1" s="1"/>
  <c r="M62" i="1"/>
  <c r="J62" i="1"/>
  <c r="I62" i="1"/>
  <c r="E62" i="1"/>
  <c r="G62" i="1"/>
  <c r="H62" i="1" s="1"/>
  <c r="F62" i="1"/>
  <c r="M49" i="1"/>
  <c r="I49" i="1"/>
  <c r="E49" i="1"/>
  <c r="G49" i="1"/>
  <c r="F49" i="1"/>
  <c r="J49" i="1" s="1"/>
  <c r="M36" i="1"/>
  <c r="I36" i="1"/>
  <c r="E36" i="1"/>
  <c r="G36" i="1"/>
  <c r="H36" i="1" s="1"/>
  <c r="F36" i="1"/>
  <c r="J36" i="1" s="1"/>
  <c r="M23" i="1"/>
  <c r="J23" i="1"/>
  <c r="I23" i="1"/>
  <c r="E23" i="1"/>
  <c r="G23" i="1"/>
  <c r="F23" i="1"/>
  <c r="H23" i="1" s="1"/>
  <c r="M10" i="1"/>
  <c r="J10" i="1"/>
  <c r="I10" i="1"/>
  <c r="H10" i="1"/>
  <c r="E10" i="1"/>
  <c r="G10" i="1"/>
  <c r="F10" i="1"/>
  <c r="B166" i="1"/>
  <c r="B153" i="1"/>
  <c r="B140" i="1"/>
  <c r="B127" i="1"/>
  <c r="B114" i="1"/>
  <c r="B101" i="1"/>
  <c r="B88" i="1"/>
  <c r="B75" i="1"/>
  <c r="B62" i="1"/>
  <c r="B49" i="1"/>
  <c r="B36" i="1"/>
  <c r="B23" i="1"/>
  <c r="B10" i="1"/>
  <c r="B166" i="4"/>
  <c r="B153" i="4"/>
  <c r="B140" i="4"/>
  <c r="B127" i="4"/>
  <c r="B114" i="4"/>
  <c r="B101" i="4"/>
  <c r="B88" i="4"/>
  <c r="B75" i="4"/>
  <c r="B62" i="4"/>
  <c r="B49" i="4"/>
  <c r="B36" i="4"/>
  <c r="B23" i="4"/>
  <c r="B10" i="4"/>
  <c r="F153" i="5"/>
  <c r="G49" i="5"/>
  <c r="H49" i="5" s="1"/>
  <c r="G10" i="5"/>
  <c r="H10" i="5" s="1"/>
  <c r="B166" i="5"/>
  <c r="B153" i="5"/>
  <c r="B140" i="5"/>
  <c r="B127" i="5"/>
  <c r="B114" i="5"/>
  <c r="B101" i="5"/>
  <c r="B88" i="5"/>
  <c r="B75" i="5"/>
  <c r="B62" i="5"/>
  <c r="B49" i="5"/>
  <c r="B36" i="5"/>
  <c r="B23" i="5"/>
  <c r="B10" i="5"/>
  <c r="B165" i="3"/>
  <c r="B152" i="3"/>
  <c r="B139" i="3"/>
  <c r="B126" i="3"/>
  <c r="B113" i="3"/>
  <c r="B100" i="3"/>
  <c r="B87" i="3"/>
  <c r="B74" i="3"/>
  <c r="B61" i="3"/>
  <c r="B48" i="3"/>
  <c r="B35" i="3"/>
  <c r="B22" i="3"/>
  <c r="B9" i="3"/>
  <c r="A31" i="2"/>
  <c r="A10" i="2"/>
  <c r="G165" i="1"/>
  <c r="G176" i="1" s="1"/>
  <c r="F165" i="1"/>
  <c r="J165" i="1" s="1"/>
  <c r="G152" i="1"/>
  <c r="G163" i="1" s="1"/>
  <c r="G139" i="1"/>
  <c r="H139" i="1" s="1"/>
  <c r="F139" i="1"/>
  <c r="J139" i="1" s="1"/>
  <c r="G126" i="1"/>
  <c r="G137" i="1" s="1"/>
  <c r="G113" i="1"/>
  <c r="H113" i="1" s="1"/>
  <c r="F113" i="1"/>
  <c r="F124" i="1" s="1"/>
  <c r="J113" i="1"/>
  <c r="G100" i="1"/>
  <c r="G111" i="1" s="1"/>
  <c r="F100" i="1"/>
  <c r="F111" i="1" s="1"/>
  <c r="G87" i="1"/>
  <c r="G98" i="1" s="1"/>
  <c r="F87" i="1"/>
  <c r="F98" i="1" s="1"/>
  <c r="H98" i="1" s="1"/>
  <c r="G74" i="1"/>
  <c r="F74" i="1"/>
  <c r="J74" i="1" s="1"/>
  <c r="G61" i="1"/>
  <c r="G72" i="1" s="1"/>
  <c r="F61" i="1"/>
  <c r="F72" i="1" s="1"/>
  <c r="G48" i="1"/>
  <c r="F48" i="1"/>
  <c r="F59" i="1" s="1"/>
  <c r="G35" i="1"/>
  <c r="G46" i="1" s="1"/>
  <c r="F35" i="1"/>
  <c r="H35" i="1" s="1"/>
  <c r="G22" i="1"/>
  <c r="G33" i="1" s="1"/>
  <c r="F22" i="1"/>
  <c r="G9" i="1"/>
  <c r="G20" i="1" s="1"/>
  <c r="B165" i="1"/>
  <c r="B152" i="1"/>
  <c r="B139" i="1"/>
  <c r="B126" i="1"/>
  <c r="B113" i="1"/>
  <c r="B100" i="1"/>
  <c r="B87" i="1"/>
  <c r="B74" i="1"/>
  <c r="B61" i="1"/>
  <c r="B48" i="1"/>
  <c r="B35" i="1"/>
  <c r="B22" i="1"/>
  <c r="B9" i="1"/>
  <c r="G153" i="5"/>
  <c r="H153" i="5"/>
  <c r="B10" i="2"/>
  <c r="J87" i="1"/>
  <c r="E177" i="5"/>
  <c r="E179" i="5" s="1"/>
  <c r="D177" i="5"/>
  <c r="C177" i="5"/>
  <c r="E164" i="5"/>
  <c r="D164" i="5"/>
  <c r="D179" i="5" s="1"/>
  <c r="C164" i="5"/>
  <c r="G164" i="5"/>
  <c r="H164" i="5" s="1"/>
  <c r="E151" i="5"/>
  <c r="D151" i="5"/>
  <c r="C151" i="5"/>
  <c r="E138" i="5"/>
  <c r="D138" i="5"/>
  <c r="C138" i="5"/>
  <c r="E125" i="5"/>
  <c r="D125" i="5"/>
  <c r="C125" i="5"/>
  <c r="C179" i="5" s="1"/>
  <c r="E112" i="5"/>
  <c r="D112" i="5"/>
  <c r="C112" i="5"/>
  <c r="E99" i="5"/>
  <c r="D99" i="5"/>
  <c r="C99" i="5"/>
  <c r="E86" i="5"/>
  <c r="D86" i="5"/>
  <c r="C86" i="5"/>
  <c r="E73" i="5"/>
  <c r="D73" i="5"/>
  <c r="C73" i="5"/>
  <c r="E60" i="5"/>
  <c r="D60" i="5"/>
  <c r="G60" i="5" s="1"/>
  <c r="H60" i="5" s="1"/>
  <c r="C60" i="5"/>
  <c r="E47" i="5"/>
  <c r="D47" i="5"/>
  <c r="C47" i="5"/>
  <c r="E34" i="5"/>
  <c r="D34" i="5"/>
  <c r="C34" i="5"/>
  <c r="E21" i="5"/>
  <c r="D21" i="5"/>
  <c r="C21" i="5"/>
  <c r="G21" i="5" s="1"/>
  <c r="H21" i="5" s="1"/>
  <c r="L59" i="1"/>
  <c r="F75" i="4"/>
  <c r="F74" i="3"/>
  <c r="M74" i="1"/>
  <c r="E74" i="1"/>
  <c r="F166" i="4"/>
  <c r="F165" i="3"/>
  <c r="G31" i="2"/>
  <c r="G10" i="2"/>
  <c r="M165" i="1"/>
  <c r="E165" i="1"/>
  <c r="E86" i="4"/>
  <c r="D86" i="4"/>
  <c r="F86" i="4" s="1"/>
  <c r="C86" i="4"/>
  <c r="G75" i="4"/>
  <c r="H75" i="4" s="1"/>
  <c r="E85" i="3"/>
  <c r="F85" i="3" s="1"/>
  <c r="D85" i="3"/>
  <c r="C85" i="3"/>
  <c r="G74" i="3"/>
  <c r="L85" i="1"/>
  <c r="D85" i="1"/>
  <c r="C85" i="1"/>
  <c r="E85" i="1" s="1"/>
  <c r="I74" i="1"/>
  <c r="G166" i="4"/>
  <c r="H166" i="4"/>
  <c r="G165" i="3"/>
  <c r="I165" i="1"/>
  <c r="D20" i="1"/>
  <c r="D33" i="1"/>
  <c r="D46" i="1"/>
  <c r="E46" i="1"/>
  <c r="D59" i="1"/>
  <c r="D72" i="1"/>
  <c r="D178" i="1" s="1"/>
  <c r="D98" i="1"/>
  <c r="D111" i="1"/>
  <c r="D124" i="1"/>
  <c r="E124" i="1" s="1"/>
  <c r="D137" i="1"/>
  <c r="E137" i="1"/>
  <c r="D150" i="1"/>
  <c r="D163" i="1"/>
  <c r="D176" i="1"/>
  <c r="E176" i="1"/>
  <c r="C176" i="1"/>
  <c r="C177" i="4"/>
  <c r="C179" i="4" s="1"/>
  <c r="D177" i="4"/>
  <c r="G177" i="4" s="1"/>
  <c r="H177" i="4" s="1"/>
  <c r="C176" i="3"/>
  <c r="G176" i="3" s="1"/>
  <c r="D176" i="3"/>
  <c r="F176" i="3"/>
  <c r="E21" i="4"/>
  <c r="E34" i="4"/>
  <c r="E47" i="4"/>
  <c r="E60" i="4"/>
  <c r="F60" i="4" s="1"/>
  <c r="E73" i="4"/>
  <c r="E99" i="4"/>
  <c r="F99" i="4" s="1"/>
  <c r="E112" i="4"/>
  <c r="E125" i="4"/>
  <c r="E138" i="4"/>
  <c r="E151" i="4"/>
  <c r="E164" i="4"/>
  <c r="F164" i="4" s="1"/>
  <c r="E177" i="4"/>
  <c r="F177" i="4" s="1"/>
  <c r="D21" i="4"/>
  <c r="F21" i="4"/>
  <c r="D34" i="4"/>
  <c r="F34" i="4" s="1"/>
  <c r="D47" i="4"/>
  <c r="F47" i="4"/>
  <c r="D60" i="4"/>
  <c r="D73" i="4"/>
  <c r="F73" i="4" s="1"/>
  <c r="D99" i="4"/>
  <c r="G99" i="4" s="1"/>
  <c r="H99" i="4" s="1"/>
  <c r="D112" i="4"/>
  <c r="F112" i="4" s="1"/>
  <c r="D125" i="4"/>
  <c r="D138" i="4"/>
  <c r="F138" i="4" s="1"/>
  <c r="D151" i="4"/>
  <c r="D164" i="4"/>
  <c r="G164" i="4"/>
  <c r="H164" i="4"/>
  <c r="C21" i="4"/>
  <c r="C34" i="4"/>
  <c r="G34" i="4" s="1"/>
  <c r="H34" i="4" s="1"/>
  <c r="C47" i="4"/>
  <c r="C60" i="4"/>
  <c r="C73" i="4"/>
  <c r="C99" i="4"/>
  <c r="C112" i="4"/>
  <c r="G112" i="4"/>
  <c r="H112" i="4" s="1"/>
  <c r="C125" i="4"/>
  <c r="C138" i="4"/>
  <c r="C151" i="4"/>
  <c r="G151" i="4" s="1"/>
  <c r="H151" i="4" s="1"/>
  <c r="C164" i="4"/>
  <c r="F127" i="4"/>
  <c r="E20" i="3"/>
  <c r="E33" i="3"/>
  <c r="E46" i="3"/>
  <c r="E59" i="3"/>
  <c r="F59" i="3" s="1"/>
  <c r="E72" i="3"/>
  <c r="E98" i="3"/>
  <c r="E178" i="3" s="1"/>
  <c r="E111" i="3"/>
  <c r="E124" i="3"/>
  <c r="E137" i="3"/>
  <c r="E150" i="3"/>
  <c r="E163" i="3"/>
  <c r="F163" i="3"/>
  <c r="E176" i="3"/>
  <c r="D20" i="3"/>
  <c r="F20" i="3"/>
  <c r="D33" i="3"/>
  <c r="F33" i="3" s="1"/>
  <c r="D46" i="3"/>
  <c r="G46" i="3" s="1"/>
  <c r="D59" i="3"/>
  <c r="D72" i="3"/>
  <c r="D98" i="3"/>
  <c r="F98" i="3" s="1"/>
  <c r="D111" i="3"/>
  <c r="F111" i="3"/>
  <c r="D124" i="3"/>
  <c r="D137" i="3"/>
  <c r="D150" i="3"/>
  <c r="F150" i="3" s="1"/>
  <c r="D163" i="3"/>
  <c r="D178" i="3" s="1"/>
  <c r="C20" i="3"/>
  <c r="C33" i="3"/>
  <c r="C46" i="3"/>
  <c r="C59" i="3"/>
  <c r="C72" i="3"/>
  <c r="G72" i="3" s="1"/>
  <c r="C98" i="3"/>
  <c r="C111" i="3"/>
  <c r="C124" i="3"/>
  <c r="C137" i="3"/>
  <c r="G137" i="3" s="1"/>
  <c r="C150" i="3"/>
  <c r="C163" i="3"/>
  <c r="F126" i="3"/>
  <c r="M126" i="1"/>
  <c r="E126" i="1"/>
  <c r="L20" i="1"/>
  <c r="L33" i="1"/>
  <c r="L46" i="1"/>
  <c r="L72" i="1"/>
  <c r="L98" i="1"/>
  <c r="L111" i="1"/>
  <c r="L178" i="1" s="1"/>
  <c r="L124" i="1"/>
  <c r="L137" i="1"/>
  <c r="L150" i="1"/>
  <c r="L163" i="1"/>
  <c r="K20" i="1"/>
  <c r="M20" i="1" s="1"/>
  <c r="K33" i="1"/>
  <c r="C20" i="1"/>
  <c r="I20" i="1" s="1"/>
  <c r="C33" i="1"/>
  <c r="I33" i="1" s="1"/>
  <c r="C46" i="1"/>
  <c r="C59" i="1"/>
  <c r="I59" i="1" s="1"/>
  <c r="C72" i="1"/>
  <c r="C98" i="1"/>
  <c r="E98" i="1" s="1"/>
  <c r="C111" i="1"/>
  <c r="E111" i="1" s="1"/>
  <c r="C124" i="1"/>
  <c r="C137" i="1"/>
  <c r="C150" i="1"/>
  <c r="C163" i="1"/>
  <c r="E163" i="1" s="1"/>
  <c r="E139" i="1"/>
  <c r="I139" i="1"/>
  <c r="M139" i="1"/>
  <c r="K137" i="1"/>
  <c r="I137" i="1" s="1"/>
  <c r="F153" i="4"/>
  <c r="K31" i="2"/>
  <c r="K10" i="2"/>
  <c r="K59" i="1"/>
  <c r="M59" i="1"/>
  <c r="K72" i="1"/>
  <c r="K98" i="1"/>
  <c r="M98" i="1" s="1"/>
  <c r="K111" i="1"/>
  <c r="K124" i="1"/>
  <c r="I124" i="1" s="1"/>
  <c r="K163" i="1"/>
  <c r="I126" i="1"/>
  <c r="G127" i="4"/>
  <c r="H127" i="4" s="1"/>
  <c r="G126" i="3"/>
  <c r="F101" i="4"/>
  <c r="F100" i="3"/>
  <c r="N31" i="2"/>
  <c r="M31" i="2"/>
  <c r="M44" i="2" s="1"/>
  <c r="L31" i="2"/>
  <c r="J31" i="2"/>
  <c r="I31" i="2"/>
  <c r="H31" i="2"/>
  <c r="H44" i="2" s="1"/>
  <c r="F31" i="2"/>
  <c r="E31" i="2"/>
  <c r="E44" i="2" s="1"/>
  <c r="C31" i="2"/>
  <c r="B31" i="2"/>
  <c r="M100" i="1"/>
  <c r="E100" i="1"/>
  <c r="I10" i="2"/>
  <c r="G101" i="4"/>
  <c r="H101" i="4" s="1"/>
  <c r="G114" i="4"/>
  <c r="H114" i="4"/>
  <c r="F114" i="4"/>
  <c r="G100" i="3"/>
  <c r="I100" i="1"/>
  <c r="F10" i="4"/>
  <c r="G10" i="4"/>
  <c r="H10" i="4"/>
  <c r="I9" i="1"/>
  <c r="I22" i="1"/>
  <c r="I48" i="1"/>
  <c r="I61" i="1"/>
  <c r="I87" i="1"/>
  <c r="I113" i="1"/>
  <c r="I152" i="1"/>
  <c r="E9" i="1"/>
  <c r="M9" i="1"/>
  <c r="E22" i="1"/>
  <c r="M22" i="1"/>
  <c r="E35" i="1"/>
  <c r="E48" i="1"/>
  <c r="M48" i="1"/>
  <c r="E61" i="1"/>
  <c r="M61" i="1"/>
  <c r="E87" i="1"/>
  <c r="M87" i="1"/>
  <c r="E113" i="1"/>
  <c r="M113" i="1"/>
  <c r="E152" i="1"/>
  <c r="M152" i="1"/>
  <c r="F23" i="4"/>
  <c r="G23" i="4"/>
  <c r="H23" i="4"/>
  <c r="F36" i="4"/>
  <c r="G36" i="4"/>
  <c r="H36" i="4" s="1"/>
  <c r="F49" i="4"/>
  <c r="G49" i="4"/>
  <c r="H49" i="4"/>
  <c r="F62" i="4"/>
  <c r="G62" i="4"/>
  <c r="H62" i="4" s="1"/>
  <c r="F88" i="4"/>
  <c r="G88" i="4"/>
  <c r="H88" i="4"/>
  <c r="F140" i="4"/>
  <c r="G140" i="4"/>
  <c r="H140" i="4" s="1"/>
  <c r="G153" i="4"/>
  <c r="H153" i="4"/>
  <c r="F9" i="3"/>
  <c r="F22" i="3"/>
  <c r="G22" i="3"/>
  <c r="F35" i="3"/>
  <c r="G35" i="3"/>
  <c r="F48" i="3"/>
  <c r="G48" i="3"/>
  <c r="F61" i="3"/>
  <c r="G61" i="3"/>
  <c r="F87" i="3"/>
  <c r="G87" i="3"/>
  <c r="F113" i="3"/>
  <c r="G113" i="3"/>
  <c r="F139" i="3"/>
  <c r="G139" i="3"/>
  <c r="F152" i="3"/>
  <c r="G152" i="3"/>
  <c r="G9" i="3"/>
  <c r="C10" i="2"/>
  <c r="C23" i="2" s="1"/>
  <c r="D10" i="2"/>
  <c r="E10" i="2"/>
  <c r="E23" i="2" s="1"/>
  <c r="F10" i="2"/>
  <c r="H10" i="2"/>
  <c r="J10" i="2"/>
  <c r="L10" i="2"/>
  <c r="L23" i="2" s="1"/>
  <c r="M10" i="2"/>
  <c r="N10" i="2"/>
  <c r="I35" i="1"/>
  <c r="M35" i="1"/>
  <c r="K46" i="1"/>
  <c r="D31" i="2"/>
  <c r="O31" i="2" s="1"/>
  <c r="O44" i="2" s="1"/>
  <c r="L176" i="1"/>
  <c r="M176" i="1"/>
  <c r="K176" i="1"/>
  <c r="I176" i="1" s="1"/>
  <c r="K85" i="1"/>
  <c r="J85" i="1" s="1"/>
  <c r="M85" i="1"/>
  <c r="K150" i="1"/>
  <c r="M150" i="1"/>
  <c r="J22" i="1"/>
  <c r="H87" i="1"/>
  <c r="H61" i="1"/>
  <c r="J61" i="1"/>
  <c r="H22" i="1"/>
  <c r="J9" i="1"/>
  <c r="H100" i="1"/>
  <c r="H74" i="1"/>
  <c r="F150" i="1"/>
  <c r="J150" i="1" s="1"/>
  <c r="H152" i="1"/>
  <c r="J100" i="1"/>
  <c r="H126" i="1"/>
  <c r="J75" i="1"/>
  <c r="H89" i="1"/>
  <c r="J25" i="1"/>
  <c r="J12" i="1"/>
  <c r="J52" i="1"/>
  <c r="H101" i="1"/>
  <c r="J101" i="1"/>
  <c r="H131" i="1"/>
  <c r="F72" i="3"/>
  <c r="G47" i="4"/>
  <c r="H47" i="4"/>
  <c r="F181" i="5"/>
  <c r="F137" i="3"/>
  <c r="J94" i="1"/>
  <c r="F151" i="4"/>
  <c r="G138" i="4"/>
  <c r="H138" i="4" s="1"/>
  <c r="F125" i="4"/>
  <c r="G125" i="4"/>
  <c r="H125" i="4"/>
  <c r="G86" i="4"/>
  <c r="H86" i="4" s="1"/>
  <c r="G60" i="4"/>
  <c r="H60" i="4"/>
  <c r="G21" i="4"/>
  <c r="H21" i="4"/>
  <c r="F21" i="5"/>
  <c r="F164" i="5"/>
  <c r="G111" i="3"/>
  <c r="G150" i="3"/>
  <c r="F124" i="3"/>
  <c r="G124" i="3"/>
  <c r="G85" i="3"/>
  <c r="G59" i="3"/>
  <c r="G20" i="3"/>
  <c r="C178" i="3"/>
  <c r="O40" i="2"/>
  <c r="O19" i="2"/>
  <c r="M180" i="1"/>
  <c r="J160" i="1"/>
  <c r="E180" i="1"/>
  <c r="E150" i="1"/>
  <c r="I150" i="1"/>
  <c r="M124" i="1"/>
  <c r="M111" i="1"/>
  <c r="I111" i="1"/>
  <c r="I98" i="1"/>
  <c r="M72" i="1"/>
  <c r="I72" i="1"/>
  <c r="E72" i="1"/>
  <c r="E59" i="1"/>
  <c r="M46" i="1"/>
  <c r="I46" i="1"/>
  <c r="J30" i="1"/>
  <c r="H30" i="1"/>
  <c r="M33" i="1"/>
  <c r="E33" i="1"/>
  <c r="C178" i="1"/>
  <c r="E178" i="1" s="1"/>
  <c r="K23" i="2"/>
  <c r="N23" i="2"/>
  <c r="J44" i="2"/>
  <c r="K44" i="2"/>
  <c r="I23" i="2"/>
  <c r="O39" i="2"/>
  <c r="B44" i="2"/>
  <c r="O37" i="2"/>
  <c r="F178" i="3" l="1"/>
  <c r="G178" i="3"/>
  <c r="H111" i="1"/>
  <c r="F179" i="5"/>
  <c r="G179" i="5"/>
  <c r="H179" i="5" s="1"/>
  <c r="H33" i="1"/>
  <c r="J33" i="1"/>
  <c r="J124" i="1"/>
  <c r="J180" i="1"/>
  <c r="H180" i="1"/>
  <c r="J59" i="1"/>
  <c r="H59" i="1"/>
  <c r="J163" i="1"/>
  <c r="J72" i="1"/>
  <c r="H72" i="1"/>
  <c r="J111" i="1"/>
  <c r="G150" i="1"/>
  <c r="H150" i="1" s="1"/>
  <c r="G124" i="1"/>
  <c r="H124" i="1" s="1"/>
  <c r="F137" i="1"/>
  <c r="H137" i="1" s="1"/>
  <c r="O12" i="2"/>
  <c r="C44" i="2"/>
  <c r="D179" i="4"/>
  <c r="J48" i="1"/>
  <c r="J153" i="1"/>
  <c r="H103" i="1"/>
  <c r="H26" i="1"/>
  <c r="H143" i="1"/>
  <c r="J144" i="1"/>
  <c r="J67" i="1"/>
  <c r="H106" i="1"/>
  <c r="F46" i="1"/>
  <c r="H134" i="1"/>
  <c r="J31" i="1"/>
  <c r="J43" i="1"/>
  <c r="H148" i="1"/>
  <c r="F180" i="3"/>
  <c r="G23" i="2"/>
  <c r="J98" i="1"/>
  <c r="J64" i="1"/>
  <c r="J155" i="1"/>
  <c r="J53" i="1"/>
  <c r="J118" i="1"/>
  <c r="H41" i="1"/>
  <c r="J70" i="1"/>
  <c r="F176" i="1"/>
  <c r="J176" i="1" s="1"/>
  <c r="F46" i="3"/>
  <c r="I163" i="1"/>
  <c r="G163" i="3"/>
  <c r="H165" i="1"/>
  <c r="H48" i="1"/>
  <c r="M163" i="1"/>
  <c r="G33" i="3"/>
  <c r="J152" i="1"/>
  <c r="H88" i="1"/>
  <c r="H115" i="1"/>
  <c r="H90" i="1"/>
  <c r="J135" i="1"/>
  <c r="O13" i="2"/>
  <c r="L44" i="2"/>
  <c r="K178" i="1"/>
  <c r="J35" i="1"/>
  <c r="H104" i="1"/>
  <c r="J79" i="1"/>
  <c r="J16" i="1"/>
  <c r="J81" i="1"/>
  <c r="J107" i="1"/>
  <c r="J17" i="1"/>
  <c r="J18" i="1"/>
  <c r="J96" i="1"/>
  <c r="O10" i="2"/>
  <c r="D44" i="2"/>
  <c r="E20" i="1"/>
  <c r="E179" i="4"/>
  <c r="I85" i="1"/>
  <c r="H141" i="1"/>
  <c r="J24" i="1"/>
  <c r="J172" i="1"/>
  <c r="H24" i="1"/>
  <c r="M137" i="1"/>
  <c r="J40" i="1"/>
  <c r="J122" i="1"/>
  <c r="J117" i="1"/>
  <c r="J157" i="1"/>
  <c r="J15" i="1"/>
  <c r="J80" i="1"/>
  <c r="O15" i="2"/>
  <c r="O14" i="2"/>
  <c r="G44" i="2"/>
  <c r="J137" i="1"/>
  <c r="G73" i="4"/>
  <c r="H73" i="4" s="1"/>
  <c r="H49" i="1"/>
  <c r="H127" i="1"/>
  <c r="H76" i="1"/>
  <c r="J20" i="1"/>
  <c r="G98" i="3"/>
  <c r="J46" i="1" l="1"/>
  <c r="H46" i="1"/>
  <c r="I178" i="1"/>
  <c r="M178" i="1"/>
  <c r="G178" i="1"/>
  <c r="H176" i="1"/>
  <c r="F178" i="1"/>
  <c r="H178" i="1" s="1"/>
  <c r="F179" i="4"/>
  <c r="G179" i="4"/>
  <c r="H179" i="4" s="1"/>
  <c r="O23" i="2"/>
  <c r="J178" i="1" l="1"/>
</calcChain>
</file>

<file path=xl/sharedStrings.xml><?xml version="1.0" encoding="utf-8"?>
<sst xmlns="http://schemas.openxmlformats.org/spreadsheetml/2006/main" count="241" uniqueCount="79">
  <si>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</si>
  <si>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</si>
  <si>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</si>
  <si>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</si>
  <si>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</si>
  <si>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</si>
  <si>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</si>
  <si>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</si>
  <si>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</si>
  <si>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</si>
  <si>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</si>
  <si>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</si>
  <si>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</si>
  <si>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</si>
  <si>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</si>
  <si>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</si>
  <si>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</si>
  <si>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</si>
  <si>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</si>
  <si>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</si>
  <si>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</si>
  <si>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</si>
  <si>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</si>
  <si>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</si>
  <si>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</si>
  <si>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</si>
  <si>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</si>
  <si>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</si>
  <si>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</si>
  <si>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</si>
  <si>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</si>
  <si>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</si>
  <si>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</si>
  <si>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</si>
  <si>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</si>
  <si>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</si>
  <si>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</si>
  <si>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</si>
  <si>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</si>
  <si>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</si>
  <si>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</si>
  <si>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</si>
  <si>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</si>
  <si>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</si>
  <si>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</si>
  <si>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</si>
  <si>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</si>
  <si>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</si>
  <si>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</si>
  <si>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</si>
  <si>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</si>
  <si>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</si>
  <si>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</si>
  <si>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</si>
  <si>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</si>
  <si>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</si>
  <si>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</si>
  <si>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</si>
  <si>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</si>
  <si>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>HYBRID TABLES</t>
  </si>
  <si>
    <t>HARRAHS KC</t>
  </si>
  <si>
    <t xml:space="preserve">CENTURY- CAPE </t>
  </si>
  <si>
    <t>CENTURY-CARUTHERSVILLE</t>
  </si>
  <si>
    <t>CENTURY - CAPE</t>
  </si>
  <si>
    <t>CENTURY-CAPE</t>
  </si>
  <si>
    <t>HYBRID</t>
  </si>
  <si>
    <t>HYBRID WIN</t>
  </si>
  <si>
    <t>BALLY'S KANSAS CITY</t>
  </si>
  <si>
    <t>BALLY'S KC</t>
  </si>
  <si>
    <t>HORSESHOE ST. LOUIS</t>
  </si>
  <si>
    <t>HORSESHOE STL</t>
  </si>
  <si>
    <t xml:space="preserve">FISCAL 2023 YTD ADMISSIONS, PATRONS AND AGR SUMMARY </t>
  </si>
  <si>
    <t>MONTH ENDED:  APRIL 30, 2023</t>
  </si>
  <si>
    <t>(as reported on the tax remittal database dtd 5/9/23)</t>
  </si>
  <si>
    <t>FOR THE MONTH ENDED:   APRIL 30, 2023</t>
  </si>
  <si>
    <t>THRU MONTH ENDED:   APRIL 30, 2023</t>
  </si>
  <si>
    <t>(as reported on the tax remittal database as of 5/9/23)</t>
  </si>
  <si>
    <t>THRU MONTH ENDED:    APRIL 30, 2023</t>
  </si>
  <si>
    <t>THRU MONTH ENDED:     APRIL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</si>
</sst>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7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92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  <xf numFmtId="167" fontId="0" fillId="0" borderId="6" xfId="1" applyNumberFormat="1" applyFont="1" applyBorder="1" applyAlignment="1">
      <alignment horizontal="center"/>
    </xf>
    <xf numFmtId="166" fontId="11" fillId="0" borderId="4" xfId="1" applyNumberFormat="1" applyFont="1" applyBorder="1" applyAlignment="1"/>
    <xf numFmtId="3" fontId="0" fillId="0" borderId="5" xfId="1" applyNumberFormat="1" applyFont="1" applyBorder="1" applyAlignment="1">
      <alignment horizontal="center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452"/>
  <sheetViews>
    <sheetView tabSelected="1" showOutlineSymbols="0" zoomScaleNormal="100" workbookViewId="0">
      <selection activeCell="O25" sqref="O25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9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2"/>
      <c r="L1" s="192"/>
      <c r="M1" s="2"/>
      <c r="N1" s="2"/>
      <c r="O1" s="2"/>
      <c r="P1" s="2"/>
      <c r="Q1" s="2"/>
      <c r="R1" s="2"/>
    </row>
    <row r="2" spans="1:18" ht="18" customHeight="1" x14ac:dyDescent="0.3">
      <c r="A2" s="4" t="s">
        <v>71</v>
      </c>
      <c r="B2" s="2"/>
      <c r="C2" s="2"/>
      <c r="D2" s="2"/>
      <c r="E2" s="2"/>
      <c r="F2" s="2"/>
      <c r="G2" s="2"/>
      <c r="H2" s="2"/>
      <c r="I2" s="2"/>
      <c r="J2" s="2"/>
      <c r="K2" s="192"/>
      <c r="L2" s="192"/>
      <c r="M2" s="2"/>
      <c r="N2" s="2"/>
      <c r="O2" s="2"/>
      <c r="P2" s="2"/>
      <c r="Q2" s="2"/>
      <c r="R2" s="2"/>
    </row>
    <row r="3" spans="1:18" ht="18" x14ac:dyDescent="0.25">
      <c r="A3" s="277" t="s">
        <v>72</v>
      </c>
      <c r="B3" s="2"/>
      <c r="C3" s="2"/>
      <c r="D3" s="2"/>
      <c r="E3" s="2"/>
      <c r="F3" s="2"/>
      <c r="G3" s="2"/>
      <c r="H3" s="2"/>
      <c r="I3" s="2"/>
      <c r="J3" s="2"/>
      <c r="K3" s="192"/>
      <c r="L3" s="192"/>
      <c r="M3" s="2"/>
      <c r="N3" s="2"/>
      <c r="O3" s="2"/>
      <c r="P3" s="2"/>
      <c r="Q3" s="2"/>
      <c r="R3" s="2"/>
    </row>
    <row r="4" spans="1:18" x14ac:dyDescent="0.2">
      <c r="A4" s="278" t="s">
        <v>73</v>
      </c>
      <c r="B4" s="2"/>
      <c r="C4" s="2"/>
      <c r="D4" s="2"/>
      <c r="E4" s="2"/>
      <c r="F4" s="2"/>
      <c r="G4" s="2"/>
      <c r="H4" s="2"/>
      <c r="I4" s="2"/>
      <c r="J4" s="2"/>
      <c r="K4" s="192"/>
      <c r="L4" s="192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2"/>
      <c r="L5" s="192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3" t="s">
        <v>1</v>
      </c>
      <c r="L6" s="193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4" t="s">
        <v>12</v>
      </c>
      <c r="L7" s="194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5"/>
      <c r="L8" s="195"/>
      <c r="M8" s="18"/>
      <c r="N8" s="10"/>
      <c r="R8" s="2"/>
    </row>
    <row r="9" spans="1:18" ht="15.75" x14ac:dyDescent="0.25">
      <c r="A9" s="19" t="s">
        <v>13</v>
      </c>
      <c r="B9" s="20">
        <f>DATE(2022,7,1)</f>
        <v>44743</v>
      </c>
      <c r="C9" s="21">
        <v>217943</v>
      </c>
      <c r="D9" s="22">
        <v>232803</v>
      </c>
      <c r="E9" s="23">
        <f t="shared" ref="E9:E18" si="0">(+C9-D9)/D9</f>
        <v>-6.3830792558515134E-2</v>
      </c>
      <c r="F9" s="21">
        <f>+C9-101378</f>
        <v>116565</v>
      </c>
      <c r="G9" s="21">
        <f>+D9-107437</f>
        <v>125366</v>
      </c>
      <c r="H9" s="23">
        <f t="shared" ref="H9:H18" si="1">(+F9-G9)/G9</f>
        <v>-7.0202447234497395E-2</v>
      </c>
      <c r="I9" s="24">
        <f t="shared" ref="I9:I18" si="2">K9/C9</f>
        <v>73.392930261582165</v>
      </c>
      <c r="J9" s="24">
        <f t="shared" ref="J9:J18" si="3">K9/F9</f>
        <v>137.22365547119634</v>
      </c>
      <c r="K9" s="21">
        <v>15995475.4</v>
      </c>
      <c r="L9" s="21">
        <v>15939478.609999999</v>
      </c>
      <c r="M9" s="25">
        <f t="shared" ref="M9:M18" si="4">(+K9-L9)/L9</f>
        <v>3.5130879353149035E-3</v>
      </c>
      <c r="N9" s="10"/>
      <c r="R9" s="2"/>
    </row>
    <row r="10" spans="1:18" ht="15.75" x14ac:dyDescent="0.25">
      <c r="A10" s="19"/>
      <c r="B10" s="20">
        <f>DATE(2022,8,1)</f>
        <v>44774</v>
      </c>
      <c r="C10" s="21">
        <v>199444</v>
      </c>
      <c r="D10" s="22">
        <v>224849</v>
      </c>
      <c r="E10" s="23">
        <f t="shared" si="0"/>
        <v>-0.11298693790054659</v>
      </c>
      <c r="F10" s="21">
        <f>+C10-93160</f>
        <v>106284</v>
      </c>
      <c r="G10" s="21">
        <f>+D10-102898</f>
        <v>121951</v>
      </c>
      <c r="H10" s="23">
        <f t="shared" si="1"/>
        <v>-0.12846963124533625</v>
      </c>
      <c r="I10" s="24">
        <f t="shared" si="2"/>
        <v>76.132840245883557</v>
      </c>
      <c r="J10" s="24">
        <f t="shared" si="3"/>
        <v>142.86476035903803</v>
      </c>
      <c r="K10" s="21">
        <v>15184238.189999999</v>
      </c>
      <c r="L10" s="21">
        <v>15076597.119999999</v>
      </c>
      <c r="M10" s="25">
        <f t="shared" si="4"/>
        <v>7.1396130800104778E-3</v>
      </c>
      <c r="N10" s="10"/>
      <c r="R10" s="2"/>
    </row>
    <row r="11" spans="1:18" ht="15.75" x14ac:dyDescent="0.25">
      <c r="A11" s="19"/>
      <c r="B11" s="20">
        <f>DATE(2022,9,1)</f>
        <v>44805</v>
      </c>
      <c r="C11" s="21">
        <v>190853</v>
      </c>
      <c r="D11" s="22">
        <v>206050</v>
      </c>
      <c r="E11" s="23">
        <f t="shared" si="0"/>
        <v>-7.375394321766561E-2</v>
      </c>
      <c r="F11" s="21">
        <f>+C11-90801</f>
        <v>100052</v>
      </c>
      <c r="G11" s="21">
        <f>+D11-93968</f>
        <v>112082</v>
      </c>
      <c r="H11" s="23">
        <f t="shared" si="1"/>
        <v>-0.10733213183205154</v>
      </c>
      <c r="I11" s="24">
        <f t="shared" si="2"/>
        <v>72.70080192608971</v>
      </c>
      <c r="J11" s="24">
        <f t="shared" si="3"/>
        <v>138.67954813496982</v>
      </c>
      <c r="K11" s="21">
        <v>13875166.15</v>
      </c>
      <c r="L11" s="21">
        <v>13876432.720000001</v>
      </c>
      <c r="M11" s="25">
        <f t="shared" si="4"/>
        <v>-9.1274899360467481E-5</v>
      </c>
      <c r="N11" s="10"/>
      <c r="R11" s="2"/>
    </row>
    <row r="12" spans="1:18" ht="15.75" x14ac:dyDescent="0.25">
      <c r="A12" s="19"/>
      <c r="B12" s="20">
        <f>DATE(2022,10,1)</f>
        <v>44835</v>
      </c>
      <c r="C12" s="21">
        <v>191998</v>
      </c>
      <c r="D12" s="22">
        <v>219538</v>
      </c>
      <c r="E12" s="23">
        <f t="shared" si="0"/>
        <v>-0.12544525321356667</v>
      </c>
      <c r="F12" s="21">
        <f>+C12-90818</f>
        <v>101180</v>
      </c>
      <c r="G12" s="21">
        <f>+D12-100658</f>
        <v>118880</v>
      </c>
      <c r="H12" s="23">
        <f t="shared" si="1"/>
        <v>-0.14888963660834456</v>
      </c>
      <c r="I12" s="24">
        <f t="shared" si="2"/>
        <v>76.281169699684369</v>
      </c>
      <c r="J12" s="24">
        <f t="shared" si="3"/>
        <v>144.75026704882387</v>
      </c>
      <c r="K12" s="21">
        <v>14645832.02</v>
      </c>
      <c r="L12" s="21">
        <v>15248970.91</v>
      </c>
      <c r="M12" s="25">
        <f t="shared" si="4"/>
        <v>-3.9552760219673119E-2</v>
      </c>
      <c r="N12" s="10"/>
      <c r="R12" s="2"/>
    </row>
    <row r="13" spans="1:18" ht="15.75" x14ac:dyDescent="0.25">
      <c r="A13" s="19"/>
      <c r="B13" s="20">
        <f>DATE(2022,11,1)</f>
        <v>44866</v>
      </c>
      <c r="C13" s="21">
        <v>181329</v>
      </c>
      <c r="D13" s="22">
        <v>201331</v>
      </c>
      <c r="E13" s="23">
        <f t="shared" si="0"/>
        <v>-9.9348833512971177E-2</v>
      </c>
      <c r="F13" s="21">
        <f>+C13-85776</f>
        <v>95553</v>
      </c>
      <c r="G13" s="21">
        <f>+D13-92874</f>
        <v>108457</v>
      </c>
      <c r="H13" s="23">
        <f t="shared" si="1"/>
        <v>-0.11897802815862507</v>
      </c>
      <c r="I13" s="24">
        <f t="shared" si="2"/>
        <v>74.713624902800987</v>
      </c>
      <c r="J13" s="24">
        <f t="shared" si="3"/>
        <v>141.78253838184045</v>
      </c>
      <c r="K13" s="21">
        <v>13547746.890000001</v>
      </c>
      <c r="L13" s="21">
        <v>13533758.140000001</v>
      </c>
      <c r="M13" s="25">
        <f t="shared" si="4"/>
        <v>1.0336190328874902E-3</v>
      </c>
      <c r="N13" s="10"/>
      <c r="R13" s="2"/>
    </row>
    <row r="14" spans="1:18" ht="15.75" x14ac:dyDescent="0.25">
      <c r="A14" s="19"/>
      <c r="B14" s="20">
        <f>DATE(2022,12,1)</f>
        <v>44896</v>
      </c>
      <c r="C14" s="21">
        <v>198171</v>
      </c>
      <c r="D14" s="22">
        <v>212681</v>
      </c>
      <c r="E14" s="23">
        <f t="shared" si="0"/>
        <v>-6.8224241939806571E-2</v>
      </c>
      <c r="F14" s="21">
        <f>+C14-94881</f>
        <v>103290</v>
      </c>
      <c r="G14" s="21">
        <f>+D14-99427</f>
        <v>113254</v>
      </c>
      <c r="H14" s="23">
        <f t="shared" si="1"/>
        <v>-8.7979232521588638E-2</v>
      </c>
      <c r="I14" s="24">
        <f t="shared" si="2"/>
        <v>66.705576093373907</v>
      </c>
      <c r="J14" s="24">
        <f t="shared" si="3"/>
        <v>127.98054719721173</v>
      </c>
      <c r="K14" s="21">
        <v>13219110.720000001</v>
      </c>
      <c r="L14" s="21">
        <v>14610455.699999999</v>
      </c>
      <c r="M14" s="25">
        <f t="shared" si="4"/>
        <v>-9.5229403419634526E-2</v>
      </c>
      <c r="N14" s="10"/>
      <c r="R14" s="2"/>
    </row>
    <row r="15" spans="1:18" ht="15.75" x14ac:dyDescent="0.25">
      <c r="A15" s="19"/>
      <c r="B15" s="20">
        <f>DATE(2023,1,1)</f>
        <v>44927</v>
      </c>
      <c r="C15" s="21">
        <v>197003</v>
      </c>
      <c r="D15" s="22">
        <v>183563</v>
      </c>
      <c r="E15" s="23">
        <f t="shared" si="0"/>
        <v>7.321736951346404E-2</v>
      </c>
      <c r="F15" s="21">
        <f>+C15-95273</f>
        <v>101730</v>
      </c>
      <c r="G15" s="21">
        <f>+D15-87679</f>
        <v>95884</v>
      </c>
      <c r="H15" s="23">
        <f t="shared" si="1"/>
        <v>6.096950481832214E-2</v>
      </c>
      <c r="I15" s="24">
        <f t="shared" si="2"/>
        <v>73.527135830418828</v>
      </c>
      <c r="J15" s="24">
        <f t="shared" si="3"/>
        <v>142.38736203676399</v>
      </c>
      <c r="K15" s="21">
        <v>14485066.34</v>
      </c>
      <c r="L15" s="21">
        <v>12724384.039999999</v>
      </c>
      <c r="M15" s="25">
        <f t="shared" si="4"/>
        <v>0.13837072933865968</v>
      </c>
      <c r="N15" s="10"/>
      <c r="R15" s="2"/>
    </row>
    <row r="16" spans="1:18" ht="15.75" x14ac:dyDescent="0.25">
      <c r="A16" s="19"/>
      <c r="B16" s="20">
        <f>DATE(2023,2,1)</f>
        <v>44958</v>
      </c>
      <c r="C16" s="21">
        <v>191288</v>
      </c>
      <c r="D16" s="22">
        <v>198133</v>
      </c>
      <c r="E16" s="23">
        <f t="shared" si="0"/>
        <v>-3.4547500921098456E-2</v>
      </c>
      <c r="F16" s="21">
        <f>+C16-92919</f>
        <v>98369</v>
      </c>
      <c r="G16" s="21">
        <f>+D16-96112</f>
        <v>102021</v>
      </c>
      <c r="H16" s="23">
        <f t="shared" si="1"/>
        <v>-3.5796551690338262E-2</v>
      </c>
      <c r="I16" s="24">
        <f t="shared" si="2"/>
        <v>72.948813935008999</v>
      </c>
      <c r="J16" s="24">
        <f t="shared" si="3"/>
        <v>141.85599853612419</v>
      </c>
      <c r="K16" s="21">
        <v>13954232.720000001</v>
      </c>
      <c r="L16" s="21">
        <v>13962827.57</v>
      </c>
      <c r="M16" s="25">
        <f t="shared" si="4"/>
        <v>-6.1555225522273119E-4</v>
      </c>
      <c r="N16" s="10"/>
      <c r="R16" s="2"/>
    </row>
    <row r="17" spans="1:18" ht="15.75" x14ac:dyDescent="0.25">
      <c r="A17" s="19"/>
      <c r="B17" s="20">
        <f>DATE(2023,3,1)</f>
        <v>44986</v>
      </c>
      <c r="C17" s="21">
        <v>217797</v>
      </c>
      <c r="D17" s="22">
        <v>229277</v>
      </c>
      <c r="E17" s="23">
        <f t="shared" si="0"/>
        <v>-5.0070438814185464E-2</v>
      </c>
      <c r="F17" s="21">
        <f>+C17-105615</f>
        <v>112182</v>
      </c>
      <c r="G17" s="21">
        <f>+D17-111679</f>
        <v>117598</v>
      </c>
      <c r="H17" s="23">
        <f t="shared" si="1"/>
        <v>-4.6055205020493546E-2</v>
      </c>
      <c r="I17" s="24">
        <f t="shared" si="2"/>
        <v>71.998188818027799</v>
      </c>
      <c r="J17" s="24">
        <f t="shared" si="3"/>
        <v>139.78168984329037</v>
      </c>
      <c r="K17" s="21">
        <v>15680989.529999999</v>
      </c>
      <c r="L17" s="21">
        <v>15824267.74</v>
      </c>
      <c r="M17" s="25">
        <f t="shared" si="4"/>
        <v>-9.0543342892150085E-3</v>
      </c>
      <c r="N17" s="10"/>
      <c r="R17" s="2"/>
    </row>
    <row r="18" spans="1:18" ht="15.75" x14ac:dyDescent="0.25">
      <c r="A18" s="19"/>
      <c r="B18" s="20">
        <f>DATE(2023,4,1)</f>
        <v>45017</v>
      </c>
      <c r="C18" s="21">
        <v>198065</v>
      </c>
      <c r="D18" s="22">
        <v>223384</v>
      </c>
      <c r="E18" s="23">
        <f t="shared" si="0"/>
        <v>-0.11334294309350715</v>
      </c>
      <c r="F18" s="21">
        <f>+C18-94196</f>
        <v>103869</v>
      </c>
      <c r="G18" s="21">
        <f>+D18-106932</f>
        <v>116452</v>
      </c>
      <c r="H18" s="23">
        <f t="shared" si="1"/>
        <v>-0.10805310342458696</v>
      </c>
      <c r="I18" s="24">
        <f t="shared" si="2"/>
        <v>74.832640143387266</v>
      </c>
      <c r="J18" s="24">
        <f t="shared" si="3"/>
        <v>142.69634703328231</v>
      </c>
      <c r="K18" s="21">
        <v>14821726.869999999</v>
      </c>
      <c r="L18" s="21">
        <v>15759269.199999999</v>
      </c>
      <c r="M18" s="25">
        <f t="shared" si="4"/>
        <v>-5.9491485176228862E-2</v>
      </c>
      <c r="N18" s="10"/>
      <c r="R18" s="2"/>
    </row>
    <row r="19" spans="1:18" ht="15.75" customHeight="1" thickBot="1" x14ac:dyDescent="0.3">
      <c r="A19" s="19"/>
      <c r="B19" s="20"/>
      <c r="C19" s="21"/>
      <c r="D19" s="21"/>
      <c r="E19" s="23"/>
      <c r="F19" s="21"/>
      <c r="G19" s="21"/>
      <c r="H19" s="23"/>
      <c r="I19" s="24"/>
      <c r="J19" s="24"/>
      <c r="K19" s="21"/>
      <c r="L19" s="21"/>
      <c r="M19" s="25"/>
      <c r="N19" s="10"/>
      <c r="R19" s="2"/>
    </row>
    <row r="20" spans="1:18" ht="17.25" thickTop="1" thickBot="1" x14ac:dyDescent="0.3">
      <c r="A20" s="26" t="s">
        <v>14</v>
      </c>
      <c r="B20" s="27"/>
      <c r="C20" s="28">
        <f>SUM(C9:C19)</f>
        <v>1983891</v>
      </c>
      <c r="D20" s="28">
        <f>SUM(D9:D19)</f>
        <v>2131609</v>
      </c>
      <c r="E20" s="279">
        <f>(+C20-D20)/D20</f>
        <v>-6.9298825441251183E-2</v>
      </c>
      <c r="F20" s="28">
        <f>SUM(F9:F19)</f>
        <v>1039074</v>
      </c>
      <c r="G20" s="28">
        <f>SUM(G9:G19)</f>
        <v>1131945</v>
      </c>
      <c r="H20" s="30">
        <f>(+F20-G20)/G20</f>
        <v>-8.2045505744537062E-2</v>
      </c>
      <c r="I20" s="31">
        <f>K20/C20</f>
        <v>73.295148186064665</v>
      </c>
      <c r="J20" s="31">
        <f>K20/F20</f>
        <v>139.9415102581722</v>
      </c>
      <c r="K20" s="28">
        <f>SUM(K9:K19)</f>
        <v>145409584.83000001</v>
      </c>
      <c r="L20" s="28">
        <f>SUM(L9:L19)</f>
        <v>146556441.75</v>
      </c>
      <c r="M20" s="32">
        <f>(+K20-L20)/L20</f>
        <v>-7.8253600203826382E-3</v>
      </c>
      <c r="N20" s="10"/>
      <c r="R20" s="2"/>
    </row>
    <row r="21" spans="1:18" ht="15.75" customHeight="1" thickTop="1" x14ac:dyDescent="0.25">
      <c r="A21" s="15"/>
      <c r="B21" s="16"/>
      <c r="C21" s="16"/>
      <c r="D21" s="16"/>
      <c r="E21" s="17"/>
      <c r="F21" s="16"/>
      <c r="G21" s="16"/>
      <c r="H21" s="17"/>
      <c r="I21" s="16"/>
      <c r="J21" s="16"/>
      <c r="K21" s="195"/>
      <c r="L21" s="195"/>
      <c r="M21" s="18"/>
      <c r="N21" s="10"/>
      <c r="R21" s="2"/>
    </row>
    <row r="22" spans="1:18" ht="15.75" x14ac:dyDescent="0.25">
      <c r="A22" s="19" t="s">
        <v>15</v>
      </c>
      <c r="B22" s="20">
        <f>DATE(2022,7,1)</f>
        <v>44743</v>
      </c>
      <c r="C22" s="21">
        <v>114715</v>
      </c>
      <c r="D22" s="21">
        <v>116107</v>
      </c>
      <c r="E22" s="23">
        <f t="shared" ref="E22:E31" si="5">(+C22-D22)/D22</f>
        <v>-1.1988941235239909E-2</v>
      </c>
      <c r="F22" s="21">
        <f>+C22-55568</f>
        <v>59147</v>
      </c>
      <c r="G22" s="21">
        <f>+D22-56210</f>
        <v>59897</v>
      </c>
      <c r="H22" s="23">
        <f t="shared" ref="H22:H31" si="6">(+F22-G22)/G22</f>
        <v>-1.2521495233484147E-2</v>
      </c>
      <c r="I22" s="24">
        <f t="shared" ref="I22:I31" si="7">K22/C22</f>
        <v>73.187937148585632</v>
      </c>
      <c r="J22" s="24">
        <f t="shared" ref="J22:J31" si="8">K22/F22</f>
        <v>141.94725362233081</v>
      </c>
      <c r="K22" s="21">
        <v>8395754.2100000009</v>
      </c>
      <c r="L22" s="21">
        <v>8058935.6500000004</v>
      </c>
      <c r="M22" s="25">
        <f t="shared" ref="M22:M31" si="9">(+K22-L22)/L22</f>
        <v>4.1794422319279906E-2</v>
      </c>
      <c r="N22" s="10"/>
      <c r="R22" s="2"/>
    </row>
    <row r="23" spans="1:18" ht="15.75" x14ac:dyDescent="0.25">
      <c r="A23" s="19"/>
      <c r="B23" s="20">
        <f>DATE(2022,8,1)</f>
        <v>44774</v>
      </c>
      <c r="C23" s="21">
        <v>103784</v>
      </c>
      <c r="D23" s="21">
        <v>103353</v>
      </c>
      <c r="E23" s="23">
        <f t="shared" si="5"/>
        <v>4.1701740636459509E-3</v>
      </c>
      <c r="F23" s="21">
        <f>+C23-49858</f>
        <v>53926</v>
      </c>
      <c r="G23" s="21">
        <f>+D23-50446</f>
        <v>52907</v>
      </c>
      <c r="H23" s="23">
        <f t="shared" si="6"/>
        <v>1.9260211314192827E-2</v>
      </c>
      <c r="I23" s="24">
        <f t="shared" si="7"/>
        <v>72.901039948354281</v>
      </c>
      <c r="J23" s="24">
        <f t="shared" si="8"/>
        <v>140.30266531914106</v>
      </c>
      <c r="K23" s="21">
        <v>7565961.5300000003</v>
      </c>
      <c r="L23" s="21">
        <v>7190146.6100000003</v>
      </c>
      <c r="M23" s="25">
        <f t="shared" si="9"/>
        <v>5.2268046868101332E-2</v>
      </c>
      <c r="N23" s="10"/>
      <c r="R23" s="2"/>
    </row>
    <row r="24" spans="1:18" ht="15.75" x14ac:dyDescent="0.25">
      <c r="A24" s="19"/>
      <c r="B24" s="20">
        <f>DATE(2022,9,1)</f>
        <v>44805</v>
      </c>
      <c r="C24" s="21">
        <v>107511</v>
      </c>
      <c r="D24" s="21">
        <v>103596</v>
      </c>
      <c r="E24" s="23">
        <f t="shared" si="5"/>
        <v>3.7791034402872695E-2</v>
      </c>
      <c r="F24" s="21">
        <f>+C24-51983</f>
        <v>55528</v>
      </c>
      <c r="G24" s="21">
        <f>+D24-49808</f>
        <v>53788</v>
      </c>
      <c r="H24" s="23">
        <f t="shared" si="6"/>
        <v>3.2349222874990702E-2</v>
      </c>
      <c r="I24" s="24">
        <f t="shared" si="7"/>
        <v>72.494149807926632</v>
      </c>
      <c r="J24" s="24">
        <f t="shared" si="8"/>
        <v>140.36015235556837</v>
      </c>
      <c r="K24" s="21">
        <v>7793918.54</v>
      </c>
      <c r="L24" s="21">
        <v>7629702.1100000003</v>
      </c>
      <c r="M24" s="25">
        <f t="shared" si="9"/>
        <v>2.1523308201609418E-2</v>
      </c>
      <c r="N24" s="10"/>
      <c r="R24" s="2"/>
    </row>
    <row r="25" spans="1:18" ht="15.75" x14ac:dyDescent="0.25">
      <c r="A25" s="19"/>
      <c r="B25" s="20">
        <f>DATE(2022,10,1)</f>
        <v>44835</v>
      </c>
      <c r="C25" s="21">
        <v>104490</v>
      </c>
      <c r="D25" s="21">
        <v>110079</v>
      </c>
      <c r="E25" s="23">
        <f t="shared" si="5"/>
        <v>-5.0772626931567331E-2</v>
      </c>
      <c r="F25" s="21">
        <f>+C25-49825</f>
        <v>54665</v>
      </c>
      <c r="G25" s="21">
        <f>+D25-53226</f>
        <v>56853</v>
      </c>
      <c r="H25" s="23">
        <f t="shared" si="6"/>
        <v>-3.8485216259476193E-2</v>
      </c>
      <c r="I25" s="24">
        <f t="shared" si="7"/>
        <v>73.323919418126138</v>
      </c>
      <c r="J25" s="24">
        <f t="shared" si="8"/>
        <v>140.15579145705661</v>
      </c>
      <c r="K25" s="21">
        <v>7661616.3399999999</v>
      </c>
      <c r="L25" s="21">
        <v>7839043.7599999998</v>
      </c>
      <c r="M25" s="25">
        <f t="shared" si="9"/>
        <v>-2.263380910122639E-2</v>
      </c>
      <c r="N25" s="10"/>
      <c r="R25" s="2"/>
    </row>
    <row r="26" spans="1:18" ht="15.75" x14ac:dyDescent="0.25">
      <c r="A26" s="19"/>
      <c r="B26" s="20">
        <f>DATE(2022,11,1)</f>
        <v>44866</v>
      </c>
      <c r="C26" s="21">
        <v>93678</v>
      </c>
      <c r="D26" s="21">
        <v>95314</v>
      </c>
      <c r="E26" s="23">
        <f t="shared" si="5"/>
        <v>-1.7164320036930567E-2</v>
      </c>
      <c r="F26" s="21">
        <f>+C26-44918</f>
        <v>48760</v>
      </c>
      <c r="G26" s="21">
        <f>+D26-46228</f>
        <v>49086</v>
      </c>
      <c r="H26" s="23">
        <f t="shared" si="6"/>
        <v>-6.6414048812288634E-3</v>
      </c>
      <c r="I26" s="24">
        <f t="shared" si="7"/>
        <v>75.066462349751276</v>
      </c>
      <c r="J26" s="24">
        <f t="shared" si="8"/>
        <v>144.21813084495489</v>
      </c>
      <c r="K26" s="21">
        <v>7032076.0599999996</v>
      </c>
      <c r="L26" s="21">
        <v>6796062.1399999997</v>
      </c>
      <c r="M26" s="25">
        <f t="shared" si="9"/>
        <v>3.4728040317771422E-2</v>
      </c>
      <c r="N26" s="10"/>
      <c r="R26" s="2"/>
    </row>
    <row r="27" spans="1:18" ht="15.75" x14ac:dyDescent="0.25">
      <c r="A27" s="19"/>
      <c r="B27" s="20">
        <f>DATE(2022,12,1)</f>
        <v>44896</v>
      </c>
      <c r="C27" s="21">
        <v>102036</v>
      </c>
      <c r="D27" s="21">
        <v>104553</v>
      </c>
      <c r="E27" s="23">
        <f t="shared" si="5"/>
        <v>-2.4073914665289374E-2</v>
      </c>
      <c r="F27" s="21">
        <f>+C27-49071</f>
        <v>52965</v>
      </c>
      <c r="G27" s="21">
        <f>+D27-51073</f>
        <v>53480</v>
      </c>
      <c r="H27" s="23">
        <f t="shared" si="6"/>
        <v>-9.6297681376215413E-3</v>
      </c>
      <c r="I27" s="24">
        <f t="shared" si="7"/>
        <v>72.513314124426671</v>
      </c>
      <c r="J27" s="24">
        <f t="shared" si="8"/>
        <v>139.69543132257149</v>
      </c>
      <c r="K27" s="21">
        <v>7398968.5199999996</v>
      </c>
      <c r="L27" s="21">
        <v>7388208.9000000004</v>
      </c>
      <c r="M27" s="25">
        <f t="shared" si="9"/>
        <v>1.4563231962755113E-3</v>
      </c>
      <c r="N27" s="10"/>
      <c r="R27" s="2"/>
    </row>
    <row r="28" spans="1:18" ht="15.75" x14ac:dyDescent="0.25">
      <c r="A28" s="19"/>
      <c r="B28" s="20">
        <f>DATE(2023,1,1)</f>
        <v>44927</v>
      </c>
      <c r="C28" s="21">
        <v>98251</v>
      </c>
      <c r="D28" s="21">
        <v>85873</v>
      </c>
      <c r="E28" s="23">
        <f t="shared" si="5"/>
        <v>0.14414309503569225</v>
      </c>
      <c r="F28" s="21">
        <f>+C28-47583</f>
        <v>50668</v>
      </c>
      <c r="G28" s="21">
        <f>+D28-42515</f>
        <v>43358</v>
      </c>
      <c r="H28" s="23">
        <f t="shared" si="6"/>
        <v>0.16859633746944047</v>
      </c>
      <c r="I28" s="24">
        <f t="shared" si="7"/>
        <v>73.310765488391965</v>
      </c>
      <c r="J28" s="24">
        <f t="shared" si="8"/>
        <v>142.15789097655323</v>
      </c>
      <c r="K28" s="21">
        <v>7202856.0199999996</v>
      </c>
      <c r="L28" s="21">
        <v>6662490.6900000004</v>
      </c>
      <c r="M28" s="25">
        <f t="shared" si="9"/>
        <v>8.1105603766329484E-2</v>
      </c>
      <c r="N28" s="10"/>
      <c r="R28" s="2"/>
    </row>
    <row r="29" spans="1:18" ht="15.75" x14ac:dyDescent="0.25">
      <c r="A29" s="19"/>
      <c r="B29" s="20">
        <f>DATE(2023,2,1)</f>
        <v>44958</v>
      </c>
      <c r="C29" s="21">
        <v>104260</v>
      </c>
      <c r="D29" s="21">
        <v>95434</v>
      </c>
      <c r="E29" s="23">
        <f t="shared" si="5"/>
        <v>9.2482762956598283E-2</v>
      </c>
      <c r="F29" s="21">
        <f>+C29-49646</f>
        <v>54614</v>
      </c>
      <c r="G29" s="21">
        <f>+D29-47101</f>
        <v>48333</v>
      </c>
      <c r="H29" s="23">
        <f t="shared" si="6"/>
        <v>0.12995262036289906</v>
      </c>
      <c r="I29" s="24">
        <f t="shared" si="7"/>
        <v>73.379385862267398</v>
      </c>
      <c r="J29" s="24">
        <f t="shared" si="8"/>
        <v>140.08376551799904</v>
      </c>
      <c r="K29" s="21">
        <v>7650534.7699999996</v>
      </c>
      <c r="L29" s="21">
        <v>6600177.21</v>
      </c>
      <c r="M29" s="25">
        <f t="shared" si="9"/>
        <v>0.15914081191768481</v>
      </c>
      <c r="N29" s="10"/>
      <c r="R29" s="2"/>
    </row>
    <row r="30" spans="1:18" ht="15.75" x14ac:dyDescent="0.25">
      <c r="A30" s="19"/>
      <c r="B30" s="20">
        <f>DATE(2023,3,1)</f>
        <v>44986</v>
      </c>
      <c r="C30" s="21">
        <v>109210</v>
      </c>
      <c r="D30" s="21">
        <v>109835</v>
      </c>
      <c r="E30" s="23">
        <f t="shared" si="5"/>
        <v>-5.690353712386762E-3</v>
      </c>
      <c r="F30" s="21">
        <f>+C30-53257</f>
        <v>55953</v>
      </c>
      <c r="G30" s="21">
        <f>+D30-53778</f>
        <v>56057</v>
      </c>
      <c r="H30" s="23">
        <f t="shared" si="6"/>
        <v>-1.8552544731255686E-3</v>
      </c>
      <c r="I30" s="24">
        <f t="shared" si="7"/>
        <v>78.606008332570283</v>
      </c>
      <c r="J30" s="24">
        <f t="shared" si="8"/>
        <v>153.42452004360803</v>
      </c>
      <c r="K30" s="21">
        <v>8584562.1699999999</v>
      </c>
      <c r="L30" s="21">
        <v>7942173.29</v>
      </c>
      <c r="M30" s="25">
        <f t="shared" si="9"/>
        <v>8.0883261614151949E-2</v>
      </c>
      <c r="N30" s="10"/>
      <c r="R30" s="2"/>
    </row>
    <row r="31" spans="1:18" ht="15.75" x14ac:dyDescent="0.25">
      <c r="A31" s="19"/>
      <c r="B31" s="20">
        <f>DATE(2023,4,1)</f>
        <v>45017</v>
      </c>
      <c r="C31" s="21">
        <v>104455</v>
      </c>
      <c r="D31" s="21">
        <v>109068</v>
      </c>
      <c r="E31" s="23">
        <f t="shared" si="5"/>
        <v>-4.2294715223530274E-2</v>
      </c>
      <c r="F31" s="21">
        <f>+C31-51429</f>
        <v>53026</v>
      </c>
      <c r="G31" s="21">
        <f>+D31-53446</f>
        <v>55622</v>
      </c>
      <c r="H31" s="23">
        <f t="shared" si="6"/>
        <v>-4.6672180072633129E-2</v>
      </c>
      <c r="I31" s="24">
        <f t="shared" si="7"/>
        <v>78.037457373988801</v>
      </c>
      <c r="J31" s="24">
        <f t="shared" si="8"/>
        <v>153.72463715912949</v>
      </c>
      <c r="K31" s="21">
        <v>8151402.6100000003</v>
      </c>
      <c r="L31" s="21">
        <v>8319224.7599999998</v>
      </c>
      <c r="M31" s="25">
        <f t="shared" si="9"/>
        <v>-2.0172811150254277E-2</v>
      </c>
      <c r="N31" s="10"/>
      <c r="R31" s="2"/>
    </row>
    <row r="32" spans="1:18" ht="15.75" customHeight="1" thickBot="1" x14ac:dyDescent="0.3">
      <c r="A32" s="19"/>
      <c r="B32" s="20"/>
      <c r="C32" s="21"/>
      <c r="D32" s="21"/>
      <c r="E32" s="23"/>
      <c r="F32" s="21"/>
      <c r="G32" s="21"/>
      <c r="H32" s="23"/>
      <c r="I32" s="24"/>
      <c r="J32" s="24"/>
      <c r="K32" s="21"/>
      <c r="L32" s="21"/>
      <c r="M32" s="25"/>
      <c r="N32" s="10"/>
      <c r="R32" s="2"/>
    </row>
    <row r="33" spans="1:18" ht="17.25" customHeight="1" thickTop="1" thickBot="1" x14ac:dyDescent="0.3">
      <c r="A33" s="26" t="s">
        <v>14</v>
      </c>
      <c r="B33" s="27"/>
      <c r="C33" s="28">
        <f>SUM(C22:C32)</f>
        <v>1042390</v>
      </c>
      <c r="D33" s="28">
        <f>SUM(D22:D32)</f>
        <v>1033212</v>
      </c>
      <c r="E33" s="279">
        <f>(+C33-D33)/D33</f>
        <v>8.8829785174775362E-3</v>
      </c>
      <c r="F33" s="28">
        <f>SUM(F22:F32)</f>
        <v>539252</v>
      </c>
      <c r="G33" s="28">
        <f>SUM(G22:G32)</f>
        <v>529381</v>
      </c>
      <c r="H33" s="30">
        <f>(+F33-G33)/G33</f>
        <v>1.8646305779769203E-2</v>
      </c>
      <c r="I33" s="31">
        <f>K33/C33</f>
        <v>74.288558763994274</v>
      </c>
      <c r="J33" s="31">
        <f>K33/F33</f>
        <v>143.60197230608324</v>
      </c>
      <c r="K33" s="28">
        <f>SUM(K22:K32)</f>
        <v>77437650.769999996</v>
      </c>
      <c r="L33" s="28">
        <f>SUM(L22:L32)</f>
        <v>74426165.120000005</v>
      </c>
      <c r="M33" s="32">
        <f>(+K33-L33)/L33</f>
        <v>4.0462727659613569E-2</v>
      </c>
      <c r="N33" s="10"/>
      <c r="R33" s="2"/>
    </row>
    <row r="34" spans="1:18" ht="15.75" customHeight="1" thickTop="1" x14ac:dyDescent="0.25">
      <c r="A34" s="33"/>
      <c r="B34" s="34"/>
      <c r="C34" s="35"/>
      <c r="D34" s="35"/>
      <c r="E34" s="29"/>
      <c r="F34" s="35"/>
      <c r="G34" s="35"/>
      <c r="H34" s="29"/>
      <c r="I34" s="36"/>
      <c r="J34" s="36"/>
      <c r="K34" s="35"/>
      <c r="L34" s="35"/>
      <c r="M34" s="37"/>
      <c r="N34" s="10"/>
      <c r="R34" s="2"/>
    </row>
    <row r="35" spans="1:18" ht="15.75" customHeight="1" x14ac:dyDescent="0.25">
      <c r="A35" s="19" t="s">
        <v>62</v>
      </c>
      <c r="B35" s="20">
        <f>DATE(2022,7,1)</f>
        <v>44743</v>
      </c>
      <c r="C35" s="21">
        <v>56544</v>
      </c>
      <c r="D35" s="21">
        <v>66837</v>
      </c>
      <c r="E35" s="23">
        <f t="shared" ref="E35:E44" si="10">(+C35-D35)/D35</f>
        <v>-0.15400152610081241</v>
      </c>
      <c r="F35" s="21">
        <f>+C35-31773</f>
        <v>24771</v>
      </c>
      <c r="G35" s="21">
        <f>+D35-37212</f>
        <v>29625</v>
      </c>
      <c r="H35" s="23">
        <f t="shared" ref="H35:H44" si="11">(+F35-G35)/G35</f>
        <v>-0.16384810126582278</v>
      </c>
      <c r="I35" s="24">
        <f t="shared" ref="I35:I44" si="12">K35/C35</f>
        <v>66.965773556876059</v>
      </c>
      <c r="J35" s="24">
        <f t="shared" ref="J35:J44" si="13">K35/F35</f>
        <v>152.86071212304711</v>
      </c>
      <c r="K35" s="21">
        <v>3786512.7</v>
      </c>
      <c r="L35" s="21">
        <v>4599517.95</v>
      </c>
      <c r="M35" s="25">
        <f t="shared" ref="M35:M44" si="14">(+K35-L35)/L35</f>
        <v>-0.17675879490806204</v>
      </c>
      <c r="N35" s="10"/>
      <c r="R35" s="2"/>
    </row>
    <row r="36" spans="1:18" ht="15.75" customHeight="1" x14ac:dyDescent="0.25">
      <c r="A36" s="19"/>
      <c r="B36" s="20">
        <f>DATE(2022,8,1)</f>
        <v>44774</v>
      </c>
      <c r="C36" s="21">
        <v>49669</v>
      </c>
      <c r="D36" s="21">
        <v>56112</v>
      </c>
      <c r="E36" s="23">
        <f t="shared" si="10"/>
        <v>-0.11482392358140861</v>
      </c>
      <c r="F36" s="21">
        <f>+C36-27651</f>
        <v>22018</v>
      </c>
      <c r="G36" s="21">
        <f>+D36-31048</f>
        <v>25064</v>
      </c>
      <c r="H36" s="23">
        <f t="shared" si="11"/>
        <v>-0.12152888605170763</v>
      </c>
      <c r="I36" s="24">
        <f t="shared" si="12"/>
        <v>70.406360305220559</v>
      </c>
      <c r="J36" s="24">
        <f t="shared" si="13"/>
        <v>158.8252116450177</v>
      </c>
      <c r="K36" s="21">
        <v>3497013.51</v>
      </c>
      <c r="L36" s="21">
        <v>3838097.49</v>
      </c>
      <c r="M36" s="25">
        <f t="shared" si="14"/>
        <v>-8.8867982350286895E-2</v>
      </c>
      <c r="N36" s="10"/>
      <c r="R36" s="2"/>
    </row>
    <row r="37" spans="1:18" ht="15.75" customHeight="1" x14ac:dyDescent="0.25">
      <c r="A37" s="19"/>
      <c r="B37" s="20">
        <f>DATE(2022,9,1)</f>
        <v>44805</v>
      </c>
      <c r="C37" s="21">
        <v>50523</v>
      </c>
      <c r="D37" s="21">
        <v>58084</v>
      </c>
      <c r="E37" s="23">
        <f t="shared" si="10"/>
        <v>-0.13017354176709592</v>
      </c>
      <c r="F37" s="21">
        <f>+C37-27954</f>
        <v>22569</v>
      </c>
      <c r="G37" s="21">
        <f>+D37-32339</f>
        <v>25745</v>
      </c>
      <c r="H37" s="23">
        <f t="shared" si="11"/>
        <v>-0.12336375995338901</v>
      </c>
      <c r="I37" s="24">
        <f t="shared" si="12"/>
        <v>71.191422718365899</v>
      </c>
      <c r="J37" s="24">
        <f t="shared" si="13"/>
        <v>159.36923434799948</v>
      </c>
      <c r="K37" s="21">
        <v>3596804.25</v>
      </c>
      <c r="L37" s="21">
        <v>4086616.29</v>
      </c>
      <c r="M37" s="25">
        <f t="shared" si="14"/>
        <v>-0.11985760473734128</v>
      </c>
      <c r="N37" s="10"/>
      <c r="R37" s="2"/>
    </row>
    <row r="38" spans="1:18" ht="15.75" customHeight="1" x14ac:dyDescent="0.25">
      <c r="A38" s="19"/>
      <c r="B38" s="20">
        <f>DATE(2022,10,1)</f>
        <v>44835</v>
      </c>
      <c r="C38" s="21">
        <v>47473</v>
      </c>
      <c r="D38" s="21">
        <v>57860</v>
      </c>
      <c r="E38" s="23">
        <f t="shared" si="10"/>
        <v>-0.17951952989975803</v>
      </c>
      <c r="F38" s="21">
        <f>+C38-26103</f>
        <v>21370</v>
      </c>
      <c r="G38" s="21">
        <f>+D38-32287</f>
        <v>25573</v>
      </c>
      <c r="H38" s="23">
        <f t="shared" si="11"/>
        <v>-0.16435302858483558</v>
      </c>
      <c r="I38" s="24">
        <f t="shared" si="12"/>
        <v>70.768336528131783</v>
      </c>
      <c r="J38" s="24">
        <f t="shared" si="13"/>
        <v>157.21035283107162</v>
      </c>
      <c r="K38" s="21">
        <v>3359585.24</v>
      </c>
      <c r="L38" s="21">
        <v>4102964.61</v>
      </c>
      <c r="M38" s="25">
        <f t="shared" si="14"/>
        <v>-0.18118103387686779</v>
      </c>
      <c r="N38" s="10"/>
      <c r="R38" s="2"/>
    </row>
    <row r="39" spans="1:18" ht="15.75" customHeight="1" x14ac:dyDescent="0.25">
      <c r="A39" s="19"/>
      <c r="B39" s="20">
        <f>DATE(2022,11,1)</f>
        <v>44866</v>
      </c>
      <c r="C39" s="21">
        <v>39425</v>
      </c>
      <c r="D39" s="21">
        <v>51753</v>
      </c>
      <c r="E39" s="23">
        <f t="shared" si="10"/>
        <v>-0.23820841303885765</v>
      </c>
      <c r="F39" s="21">
        <f>+C39-21931</f>
        <v>17494</v>
      </c>
      <c r="G39" s="21">
        <f>+D39-28958</f>
        <v>22795</v>
      </c>
      <c r="H39" s="23">
        <f t="shared" si="11"/>
        <v>-0.23255099802588286</v>
      </c>
      <c r="I39" s="24">
        <f t="shared" si="12"/>
        <v>78.5845882054534</v>
      </c>
      <c r="J39" s="24">
        <f t="shared" si="13"/>
        <v>177.10057105293245</v>
      </c>
      <c r="K39" s="21">
        <v>3098197.39</v>
      </c>
      <c r="L39" s="21">
        <v>3696376.98</v>
      </c>
      <c r="M39" s="25">
        <f t="shared" si="14"/>
        <v>-0.16182862117056032</v>
      </c>
      <c r="N39" s="10"/>
      <c r="R39" s="2"/>
    </row>
    <row r="40" spans="1:18" ht="15.75" customHeight="1" x14ac:dyDescent="0.25">
      <c r="A40" s="19"/>
      <c r="B40" s="20">
        <f>DATE(2022,12,1)</f>
        <v>44896</v>
      </c>
      <c r="C40" s="21">
        <v>43315</v>
      </c>
      <c r="D40" s="21">
        <v>57109</v>
      </c>
      <c r="E40" s="23">
        <f t="shared" si="10"/>
        <v>-0.24153811133096359</v>
      </c>
      <c r="F40" s="21">
        <f>+C40-23779</f>
        <v>19536</v>
      </c>
      <c r="G40" s="21">
        <f>+D40-32118</f>
        <v>24991</v>
      </c>
      <c r="H40" s="23">
        <f t="shared" si="11"/>
        <v>-0.21827858028890401</v>
      </c>
      <c r="I40" s="24">
        <f t="shared" si="12"/>
        <v>72.498985109084614</v>
      </c>
      <c r="J40" s="24">
        <f t="shared" si="13"/>
        <v>160.74393632268632</v>
      </c>
      <c r="K40" s="21">
        <v>3140293.54</v>
      </c>
      <c r="L40" s="21">
        <v>3934957.36</v>
      </c>
      <c r="M40" s="25">
        <f t="shared" si="14"/>
        <v>-0.2019497919032088</v>
      </c>
      <c r="N40" s="10"/>
      <c r="R40" s="2"/>
    </row>
    <row r="41" spans="1:18" ht="15.75" customHeight="1" x14ac:dyDescent="0.25">
      <c r="A41" s="19"/>
      <c r="B41" s="20">
        <f>DATE(2023,1,1)</f>
        <v>44927</v>
      </c>
      <c r="C41" s="21">
        <v>50810</v>
      </c>
      <c r="D41" s="21">
        <v>47271</v>
      </c>
      <c r="E41" s="23">
        <f t="shared" si="10"/>
        <v>7.4866197034122395E-2</v>
      </c>
      <c r="F41" s="21">
        <f>+C41-28221</f>
        <v>22589</v>
      </c>
      <c r="G41" s="21">
        <f>+D41-26698</f>
        <v>20573</v>
      </c>
      <c r="H41" s="23">
        <f t="shared" si="11"/>
        <v>9.7992514460700925E-2</v>
      </c>
      <c r="I41" s="24">
        <f t="shared" si="12"/>
        <v>71.480214524699861</v>
      </c>
      <c r="J41" s="24">
        <f t="shared" si="13"/>
        <v>160.78222586214531</v>
      </c>
      <c r="K41" s="21">
        <v>3631909.7</v>
      </c>
      <c r="L41" s="21">
        <v>3435231.46</v>
      </c>
      <c r="M41" s="25">
        <f t="shared" si="14"/>
        <v>5.7253271661642333E-2</v>
      </c>
      <c r="N41" s="10"/>
      <c r="R41" s="2"/>
    </row>
    <row r="42" spans="1:18" ht="15.75" customHeight="1" x14ac:dyDescent="0.25">
      <c r="A42" s="19"/>
      <c r="B42" s="20">
        <f>DATE(2023,2,1)</f>
        <v>44958</v>
      </c>
      <c r="C42" s="21">
        <v>57307</v>
      </c>
      <c r="D42" s="21">
        <v>51279</v>
      </c>
      <c r="E42" s="23">
        <f t="shared" si="10"/>
        <v>0.11755299440316699</v>
      </c>
      <c r="F42" s="21">
        <f>+C42-31374</f>
        <v>25933</v>
      </c>
      <c r="G42" s="21">
        <f>+D42-29313</f>
        <v>21966</v>
      </c>
      <c r="H42" s="23">
        <f t="shared" si="11"/>
        <v>0.18059728671583355</v>
      </c>
      <c r="I42" s="24">
        <f t="shared" si="12"/>
        <v>68.157135602980446</v>
      </c>
      <c r="J42" s="24">
        <f t="shared" si="13"/>
        <v>150.61431265183359</v>
      </c>
      <c r="K42" s="21">
        <v>3905880.97</v>
      </c>
      <c r="L42" s="21">
        <v>3789444.1</v>
      </c>
      <c r="M42" s="25">
        <f t="shared" si="14"/>
        <v>3.072663613114127E-2</v>
      </c>
      <c r="N42" s="10"/>
      <c r="R42" s="2"/>
    </row>
    <row r="43" spans="1:18" ht="15.75" customHeight="1" x14ac:dyDescent="0.25">
      <c r="A43" s="19"/>
      <c r="B43" s="20">
        <f>DATE(2023,3,1)</f>
        <v>44986</v>
      </c>
      <c r="C43" s="21">
        <v>62514</v>
      </c>
      <c r="D43" s="21">
        <v>60768</v>
      </c>
      <c r="E43" s="23">
        <f t="shared" si="10"/>
        <v>2.8732227488151657E-2</v>
      </c>
      <c r="F43" s="21">
        <f>+C43-33809</f>
        <v>28705</v>
      </c>
      <c r="G43" s="21">
        <f>+D43-33441</f>
        <v>27327</v>
      </c>
      <c r="H43" s="23">
        <f t="shared" si="11"/>
        <v>5.0426318293263071E-2</v>
      </c>
      <c r="I43" s="24">
        <f t="shared" si="12"/>
        <v>72.110541478708768</v>
      </c>
      <c r="J43" s="24">
        <f t="shared" si="13"/>
        <v>157.04296777564883</v>
      </c>
      <c r="K43" s="21">
        <v>4507918.3899999997</v>
      </c>
      <c r="L43" s="21">
        <v>4791438.0599999996</v>
      </c>
      <c r="M43" s="25">
        <f t="shared" si="14"/>
        <v>-5.9172145491535363E-2</v>
      </c>
      <c r="N43" s="10"/>
      <c r="R43" s="2"/>
    </row>
    <row r="44" spans="1:18" ht="15.75" customHeight="1" x14ac:dyDescent="0.25">
      <c r="A44" s="19"/>
      <c r="B44" s="20">
        <f>DATE(2023,4,1)</f>
        <v>45017</v>
      </c>
      <c r="C44" s="21">
        <v>57888</v>
      </c>
      <c r="D44" s="21">
        <v>58182</v>
      </c>
      <c r="E44" s="23">
        <f t="shared" si="10"/>
        <v>-5.0531092090337218E-3</v>
      </c>
      <c r="F44" s="21">
        <f>+C44-31142</f>
        <v>26746</v>
      </c>
      <c r="G44" s="21">
        <f>+D44-32789</f>
        <v>25393</v>
      </c>
      <c r="H44" s="23">
        <f t="shared" si="11"/>
        <v>5.3282400661599651E-2</v>
      </c>
      <c r="I44" s="24">
        <f t="shared" si="12"/>
        <v>70.430680106412382</v>
      </c>
      <c r="J44" s="24">
        <f t="shared" si="13"/>
        <v>152.43741905331638</v>
      </c>
      <c r="K44" s="21">
        <v>4077091.21</v>
      </c>
      <c r="L44" s="21">
        <v>4393043.66</v>
      </c>
      <c r="M44" s="25">
        <f t="shared" si="14"/>
        <v>-7.1921081248712243E-2</v>
      </c>
      <c r="N44" s="10"/>
      <c r="R44" s="2"/>
    </row>
    <row r="45" spans="1:18" ht="15.75" customHeight="1" thickBot="1" x14ac:dyDescent="0.25">
      <c r="A45" s="38"/>
      <c r="B45" s="20"/>
      <c r="C45" s="21"/>
      <c r="D45" s="21"/>
      <c r="E45" s="23"/>
      <c r="F45" s="21"/>
      <c r="G45" s="21"/>
      <c r="H45" s="23"/>
      <c r="I45" s="24"/>
      <c r="J45" s="24"/>
      <c r="K45" s="21"/>
      <c r="L45" s="21"/>
      <c r="M45" s="25"/>
      <c r="N45" s="10"/>
      <c r="R45" s="2"/>
    </row>
    <row r="46" spans="1:18" ht="17.25" customHeight="1" thickTop="1" thickBot="1" x14ac:dyDescent="0.3">
      <c r="A46" s="39" t="s">
        <v>14</v>
      </c>
      <c r="B46" s="40"/>
      <c r="C46" s="41">
        <f>SUM(C35:C45)</f>
        <v>515468</v>
      </c>
      <c r="D46" s="41">
        <f>SUM(D35:D45)</f>
        <v>565255</v>
      </c>
      <c r="E46" s="280">
        <f>(+C46-D46)/D46</f>
        <v>-8.8078831677738362E-2</v>
      </c>
      <c r="F46" s="41">
        <f>SUM(F35:F45)</f>
        <v>231731</v>
      </c>
      <c r="G46" s="41">
        <f>SUM(G35:G45)</f>
        <v>249052</v>
      </c>
      <c r="H46" s="42">
        <f>(+F46-G46)/G46</f>
        <v>-6.9547724973097982E-2</v>
      </c>
      <c r="I46" s="43">
        <f>K46/C46</f>
        <v>71.00577902023015</v>
      </c>
      <c r="J46" s="43">
        <f>K46/F46</f>
        <v>157.94695962128503</v>
      </c>
      <c r="K46" s="41">
        <f>SUM(K35:K45)</f>
        <v>36601206.899999999</v>
      </c>
      <c r="L46" s="41">
        <f>SUM(L35:L45)</f>
        <v>40667687.960000008</v>
      </c>
      <c r="M46" s="44">
        <f>(+K46-L46)/L46</f>
        <v>-9.9992924702277788E-2</v>
      </c>
      <c r="N46" s="10"/>
      <c r="R46" s="2"/>
    </row>
    <row r="47" spans="1:18" ht="15.75" customHeight="1" thickTop="1" x14ac:dyDescent="0.2">
      <c r="A47" s="38"/>
      <c r="B47" s="45"/>
      <c r="C47" s="21"/>
      <c r="D47" s="21"/>
      <c r="E47" s="23"/>
      <c r="F47" s="21"/>
      <c r="G47" s="21"/>
      <c r="H47" s="23"/>
      <c r="I47" s="24"/>
      <c r="J47" s="24"/>
      <c r="K47" s="21"/>
      <c r="L47" s="21"/>
      <c r="M47" s="25"/>
      <c r="N47" s="10"/>
      <c r="R47" s="2"/>
    </row>
    <row r="48" spans="1:18" ht="15.75" customHeight="1" x14ac:dyDescent="0.25">
      <c r="A48" s="177" t="s">
        <v>58</v>
      </c>
      <c r="B48" s="20">
        <f>DATE(2022,7,1)</f>
        <v>44743</v>
      </c>
      <c r="C48" s="21">
        <v>327697</v>
      </c>
      <c r="D48" s="21">
        <v>337225</v>
      </c>
      <c r="E48" s="23">
        <f t="shared" ref="E48:E57" si="15">(+C48-D48)/D48</f>
        <v>-2.8254132997257025E-2</v>
      </c>
      <c r="F48" s="21">
        <f>+C48-165744</f>
        <v>161953</v>
      </c>
      <c r="G48" s="21">
        <f>+D48-176904</f>
        <v>160321</v>
      </c>
      <c r="H48" s="23">
        <f t="shared" ref="H48:H57" si="16">(+F48-G48)/G48</f>
        <v>1.0179577223195964E-2</v>
      </c>
      <c r="I48" s="24">
        <f t="shared" ref="I48:I57" si="17">K48/C48</f>
        <v>65.316613334879477</v>
      </c>
      <c r="J48" s="24">
        <f t="shared" ref="J48:J57" si="18">K48/F48</f>
        <v>132.16215963890758</v>
      </c>
      <c r="K48" s="21">
        <v>21404058.239999998</v>
      </c>
      <c r="L48" s="21">
        <v>19292691.57</v>
      </c>
      <c r="M48" s="25">
        <f t="shared" ref="M48:M57" si="19">(+K48-L48)/L48</f>
        <v>0.10943867849331912</v>
      </c>
      <c r="N48" s="10"/>
      <c r="R48" s="2"/>
    </row>
    <row r="49" spans="1:18" ht="15.75" customHeight="1" x14ac:dyDescent="0.25">
      <c r="A49" s="177"/>
      <c r="B49" s="20">
        <f>DATE(2022,8,1)</f>
        <v>44774</v>
      </c>
      <c r="C49" s="21">
        <v>302775</v>
      </c>
      <c r="D49" s="21">
        <v>302300</v>
      </c>
      <c r="E49" s="23">
        <f t="shared" si="15"/>
        <v>1.57128680119087E-3</v>
      </c>
      <c r="F49" s="21">
        <f>+C49-150422</f>
        <v>152353</v>
      </c>
      <c r="G49" s="21">
        <f>+D49-157033</f>
        <v>145267</v>
      </c>
      <c r="H49" s="23">
        <f t="shared" si="16"/>
        <v>4.8779144609580979E-2</v>
      </c>
      <c r="I49" s="24">
        <f t="shared" si="17"/>
        <v>63.880171150194037</v>
      </c>
      <c r="J49" s="24">
        <f t="shared" si="18"/>
        <v>126.95069227386399</v>
      </c>
      <c r="K49" s="21">
        <v>19341318.82</v>
      </c>
      <c r="L49" s="21">
        <v>17616276.93</v>
      </c>
      <c r="M49" s="25">
        <f t="shared" si="19"/>
        <v>9.79231818876726E-2</v>
      </c>
      <c r="N49" s="10"/>
      <c r="R49" s="2"/>
    </row>
    <row r="50" spans="1:18" ht="15.75" customHeight="1" x14ac:dyDescent="0.25">
      <c r="A50" s="177"/>
      <c r="B50" s="20">
        <f>DATE(2022,9,1)</f>
        <v>44805</v>
      </c>
      <c r="C50" s="21">
        <v>299586</v>
      </c>
      <c r="D50" s="21">
        <v>336142</v>
      </c>
      <c r="E50" s="23">
        <f t="shared" si="15"/>
        <v>-0.10875165852526611</v>
      </c>
      <c r="F50" s="21">
        <f>+C50-150974</f>
        <v>148612</v>
      </c>
      <c r="G50" s="21">
        <f>+D50-171648</f>
        <v>164494</v>
      </c>
      <c r="H50" s="23">
        <f t="shared" si="16"/>
        <v>-9.6550634065680208E-2</v>
      </c>
      <c r="I50" s="24">
        <f t="shared" si="17"/>
        <v>70.611926892444913</v>
      </c>
      <c r="J50" s="24">
        <f t="shared" si="18"/>
        <v>142.34614115952951</v>
      </c>
      <c r="K50" s="21">
        <v>21154344.73</v>
      </c>
      <c r="L50" s="21">
        <v>19389436.620000001</v>
      </c>
      <c r="M50" s="25">
        <f t="shared" si="19"/>
        <v>9.1024207901920937E-2</v>
      </c>
      <c r="N50" s="10"/>
      <c r="R50" s="2"/>
    </row>
    <row r="51" spans="1:18" ht="15.75" customHeight="1" x14ac:dyDescent="0.25">
      <c r="A51" s="177"/>
      <c r="B51" s="20">
        <f>DATE(2022,10,1)</f>
        <v>44835</v>
      </c>
      <c r="C51" s="21">
        <v>280901</v>
      </c>
      <c r="D51" s="21">
        <v>333807</v>
      </c>
      <c r="E51" s="23">
        <f t="shared" si="15"/>
        <v>-0.15849278175712314</v>
      </c>
      <c r="F51" s="21">
        <f>+C51-143073</f>
        <v>137828</v>
      </c>
      <c r="G51" s="21">
        <f>+D51-175822</f>
        <v>157985</v>
      </c>
      <c r="H51" s="23">
        <f t="shared" si="16"/>
        <v>-0.1275880621577998</v>
      </c>
      <c r="I51" s="24">
        <f t="shared" si="17"/>
        <v>68.552443743525302</v>
      </c>
      <c r="J51" s="24">
        <f t="shared" si="18"/>
        <v>139.71362858054968</v>
      </c>
      <c r="K51" s="21">
        <v>19256450</v>
      </c>
      <c r="L51" s="21">
        <v>19174424.98</v>
      </c>
      <c r="M51" s="25">
        <f t="shared" si="19"/>
        <v>4.2778346722551651E-3</v>
      </c>
      <c r="N51" s="10"/>
      <c r="R51" s="2"/>
    </row>
    <row r="52" spans="1:18" ht="15.75" customHeight="1" x14ac:dyDescent="0.25">
      <c r="A52" s="177"/>
      <c r="B52" s="20">
        <f>DATE(2022,11,1)</f>
        <v>44866</v>
      </c>
      <c r="C52" s="21">
        <v>277702</v>
      </c>
      <c r="D52" s="21">
        <v>303436</v>
      </c>
      <c r="E52" s="23">
        <f t="shared" si="15"/>
        <v>-8.4808658168444087E-2</v>
      </c>
      <c r="F52" s="21">
        <f>+C52-138977</f>
        <v>138725</v>
      </c>
      <c r="G52" s="21">
        <f>+D52-164494</f>
        <v>138942</v>
      </c>
      <c r="H52" s="23">
        <f t="shared" si="16"/>
        <v>-1.5618027666220438E-3</v>
      </c>
      <c r="I52" s="24">
        <f t="shared" si="17"/>
        <v>64.542748017659221</v>
      </c>
      <c r="J52" s="24">
        <f t="shared" si="18"/>
        <v>129.20274074608039</v>
      </c>
      <c r="K52" s="21">
        <v>17923650.210000001</v>
      </c>
      <c r="L52" s="21">
        <v>18834359.640000001</v>
      </c>
      <c r="M52" s="25">
        <f t="shared" si="19"/>
        <v>-4.8353617930596109E-2</v>
      </c>
      <c r="N52" s="10"/>
      <c r="R52" s="2"/>
    </row>
    <row r="53" spans="1:18" ht="15.75" customHeight="1" x14ac:dyDescent="0.25">
      <c r="A53" s="177"/>
      <c r="B53" s="20">
        <f>DATE(2022,12,1)</f>
        <v>44896</v>
      </c>
      <c r="C53" s="21">
        <v>302510</v>
      </c>
      <c r="D53" s="21">
        <v>313897</v>
      </c>
      <c r="E53" s="23">
        <f t="shared" si="15"/>
        <v>-3.6276230738108359E-2</v>
      </c>
      <c r="F53" s="21">
        <f>+C53-154252</f>
        <v>148258</v>
      </c>
      <c r="G53" s="21">
        <f>+D53-163677</f>
        <v>150220</v>
      </c>
      <c r="H53" s="23">
        <f t="shared" si="16"/>
        <v>-1.3060844095326854E-2</v>
      </c>
      <c r="I53" s="24">
        <f t="shared" si="17"/>
        <v>66.851725661961595</v>
      </c>
      <c r="J53" s="24">
        <f t="shared" si="18"/>
        <v>136.40623460454074</v>
      </c>
      <c r="K53" s="21">
        <v>20223315.530000001</v>
      </c>
      <c r="L53" s="21">
        <v>20352135.719999999</v>
      </c>
      <c r="M53" s="25">
        <f t="shared" si="19"/>
        <v>-6.329566182747411E-3</v>
      </c>
      <c r="N53" s="10"/>
      <c r="R53" s="2"/>
    </row>
    <row r="54" spans="1:18" ht="15.75" customHeight="1" x14ac:dyDescent="0.25">
      <c r="A54" s="177"/>
      <c r="B54" s="20">
        <f>DATE(2023,1,1)</f>
        <v>44927</v>
      </c>
      <c r="C54" s="21">
        <v>303832</v>
      </c>
      <c r="D54" s="21">
        <v>284315</v>
      </c>
      <c r="E54" s="23">
        <f t="shared" si="15"/>
        <v>6.8645692277931172E-2</v>
      </c>
      <c r="F54" s="21">
        <f>+C54-157346</f>
        <v>146486</v>
      </c>
      <c r="G54" s="21">
        <f>+D54-147505</f>
        <v>136810</v>
      </c>
      <c r="H54" s="23">
        <f t="shared" si="16"/>
        <v>7.0725824135662599E-2</v>
      </c>
      <c r="I54" s="24">
        <f t="shared" si="17"/>
        <v>62.243780576107845</v>
      </c>
      <c r="J54" s="24">
        <f t="shared" si="18"/>
        <v>129.10211446827682</v>
      </c>
      <c r="K54" s="21">
        <v>18911652.34</v>
      </c>
      <c r="L54" s="21">
        <v>18953051.140000001</v>
      </c>
      <c r="M54" s="25">
        <f t="shared" si="19"/>
        <v>-2.1842815541519584E-3</v>
      </c>
      <c r="N54" s="10"/>
      <c r="R54" s="2"/>
    </row>
    <row r="55" spans="1:18" ht="15.75" customHeight="1" x14ac:dyDescent="0.25">
      <c r="A55" s="177"/>
      <c r="B55" s="20">
        <f>DATE(2023,2,1)</f>
        <v>44958</v>
      </c>
      <c r="C55" s="21">
        <v>310506</v>
      </c>
      <c r="D55" s="21">
        <v>279152</v>
      </c>
      <c r="E55" s="23">
        <f t="shared" si="15"/>
        <v>0.1123187367455723</v>
      </c>
      <c r="F55" s="21">
        <f>+C55-160719</f>
        <v>149787</v>
      </c>
      <c r="G55" s="21">
        <f>+D55-149732</f>
        <v>129420</v>
      </c>
      <c r="H55" s="23">
        <f t="shared" si="16"/>
        <v>0.15737134909596662</v>
      </c>
      <c r="I55" s="24">
        <f t="shared" si="17"/>
        <v>62.29966457975047</v>
      </c>
      <c r="J55" s="24">
        <f t="shared" si="18"/>
        <v>129.14618524972127</v>
      </c>
      <c r="K55" s="21">
        <v>19344419.649999999</v>
      </c>
      <c r="L55" s="21">
        <v>17585750.390000001</v>
      </c>
      <c r="M55" s="25">
        <f t="shared" si="19"/>
        <v>0.10000535780378479</v>
      </c>
      <c r="N55" s="10"/>
      <c r="R55" s="2"/>
    </row>
    <row r="56" spans="1:18" ht="15.75" customHeight="1" x14ac:dyDescent="0.25">
      <c r="A56" s="177"/>
      <c r="B56" s="20">
        <f>DATE(2023,3,1)</f>
        <v>44986</v>
      </c>
      <c r="C56" s="21">
        <v>350533</v>
      </c>
      <c r="D56" s="21">
        <v>343142</v>
      </c>
      <c r="E56" s="23">
        <f t="shared" si="15"/>
        <v>2.1539187858087904E-2</v>
      </c>
      <c r="F56" s="21">
        <f>+C56-179914</f>
        <v>170619</v>
      </c>
      <c r="G56" s="21">
        <f>+D56-180419</f>
        <v>162723</v>
      </c>
      <c r="H56" s="23">
        <f t="shared" si="16"/>
        <v>4.8524179126491034E-2</v>
      </c>
      <c r="I56" s="24">
        <f t="shared" si="17"/>
        <v>64.126670356285999</v>
      </c>
      <c r="J56" s="24">
        <f t="shared" si="18"/>
        <v>131.74684026984099</v>
      </c>
      <c r="K56" s="21">
        <v>22478514.140000001</v>
      </c>
      <c r="L56" s="21">
        <v>22115889.43</v>
      </c>
      <c r="M56" s="25">
        <f t="shared" si="19"/>
        <v>1.639656913405001E-2</v>
      </c>
      <c r="N56" s="10"/>
      <c r="R56" s="2"/>
    </row>
    <row r="57" spans="1:18" ht="15.75" customHeight="1" x14ac:dyDescent="0.25">
      <c r="A57" s="177"/>
      <c r="B57" s="20">
        <f>DATE(2023,4,1)</f>
        <v>45017</v>
      </c>
      <c r="C57" s="21">
        <v>316028</v>
      </c>
      <c r="D57" s="21">
        <v>329305</v>
      </c>
      <c r="E57" s="23">
        <f t="shared" si="15"/>
        <v>-4.0318246002945597E-2</v>
      </c>
      <c r="F57" s="21">
        <f>+C57-163969</f>
        <v>152059</v>
      </c>
      <c r="G57" s="21">
        <f>+D57-168280</f>
        <v>161025</v>
      </c>
      <c r="H57" s="23">
        <f t="shared" si="16"/>
        <v>-5.5680794907623038E-2</v>
      </c>
      <c r="I57" s="24">
        <f t="shared" si="17"/>
        <v>67.113813269710278</v>
      </c>
      <c r="J57" s="24">
        <f t="shared" si="18"/>
        <v>139.48430661782598</v>
      </c>
      <c r="K57" s="21">
        <v>21209844.18</v>
      </c>
      <c r="L57" s="21">
        <v>22199173.109999999</v>
      </c>
      <c r="M57" s="25">
        <f t="shared" si="19"/>
        <v>-4.4566026180242697E-2</v>
      </c>
      <c r="N57" s="10"/>
      <c r="R57" s="2"/>
    </row>
    <row r="58" spans="1:18" ht="15.75" thickBot="1" x14ac:dyDescent="0.25">
      <c r="A58" s="38"/>
      <c r="B58" s="45"/>
      <c r="C58" s="21"/>
      <c r="D58" s="21"/>
      <c r="E58" s="23"/>
      <c r="F58" s="21"/>
      <c r="G58" s="21"/>
      <c r="H58" s="23"/>
      <c r="I58" s="24"/>
      <c r="J58" s="24"/>
      <c r="K58" s="21"/>
      <c r="L58" s="21"/>
      <c r="M58" s="25"/>
      <c r="N58" s="10"/>
      <c r="R58" s="2"/>
    </row>
    <row r="59" spans="1:18" ht="17.25" thickTop="1" thickBot="1" x14ac:dyDescent="0.3">
      <c r="A59" s="39" t="s">
        <v>14</v>
      </c>
      <c r="B59" s="40"/>
      <c r="C59" s="41">
        <f>SUM(C48:C58)</f>
        <v>3072070</v>
      </c>
      <c r="D59" s="41">
        <f>SUM(D48:D58)</f>
        <v>3162721</v>
      </c>
      <c r="E59" s="280">
        <f>(+C59-D59)/D59</f>
        <v>-2.8662344860643729E-2</v>
      </c>
      <c r="F59" s="41">
        <f>SUM(F48:F58)</f>
        <v>1506680</v>
      </c>
      <c r="G59" s="41">
        <f>SUM(G48:G58)</f>
        <v>1507207</v>
      </c>
      <c r="H59" s="42">
        <f>(+F59-G59)/G59</f>
        <v>-3.4965336546340353E-4</v>
      </c>
      <c r="I59" s="43">
        <f>K59/C59</f>
        <v>65.508783276422747</v>
      </c>
      <c r="J59" s="43">
        <f>K59/F59</f>
        <v>133.57021254679165</v>
      </c>
      <c r="K59" s="41">
        <f>SUM(K48:K58)</f>
        <v>201247567.84000003</v>
      </c>
      <c r="L59" s="41">
        <f>SUM(L48:L58)</f>
        <v>195513189.53000003</v>
      </c>
      <c r="M59" s="44">
        <f>(+K59-L59)/L59</f>
        <v>2.932987960446579E-2</v>
      </c>
      <c r="N59" s="10"/>
      <c r="R59" s="2"/>
    </row>
    <row r="60" spans="1:18" ht="15.75" thickTop="1" x14ac:dyDescent="0.2">
      <c r="A60" s="38"/>
      <c r="B60" s="45"/>
      <c r="C60" s="21"/>
      <c r="D60" s="21"/>
      <c r="E60" s="23"/>
      <c r="F60" s="21"/>
      <c r="G60" s="21"/>
      <c r="H60" s="23"/>
      <c r="I60" s="24"/>
      <c r="J60" s="24"/>
      <c r="K60" s="21"/>
      <c r="L60" s="21"/>
      <c r="M60" s="25"/>
      <c r="N60" s="10"/>
      <c r="R60" s="2"/>
    </row>
    <row r="61" spans="1:18" ht="15.75" x14ac:dyDescent="0.25">
      <c r="A61" s="19" t="s">
        <v>60</v>
      </c>
      <c r="B61" s="20">
        <f>DATE(2022,7,1)</f>
        <v>44743</v>
      </c>
      <c r="C61" s="21">
        <v>219130</v>
      </c>
      <c r="D61" s="21">
        <v>256229</v>
      </c>
      <c r="E61" s="23">
        <f t="shared" ref="E61:E70" si="20">(+C61-D61)/D61</f>
        <v>-0.14478845095598078</v>
      </c>
      <c r="F61" s="21">
        <f>+C61-103416</f>
        <v>115714</v>
      </c>
      <c r="G61" s="21">
        <f>+D61-120621</f>
        <v>135608</v>
      </c>
      <c r="H61" s="23">
        <f t="shared" ref="H61:H70" si="21">(+F61-G61)/G61</f>
        <v>-0.14670225945371954</v>
      </c>
      <c r="I61" s="24">
        <f t="shared" ref="I61:I70" si="22">K61/C61</f>
        <v>68.787062748140372</v>
      </c>
      <c r="J61" s="24">
        <f t="shared" ref="J61:J70" si="23">K61/F61</f>
        <v>130.26348635428729</v>
      </c>
      <c r="K61" s="21">
        <v>15073309.060000001</v>
      </c>
      <c r="L61" s="21">
        <v>16211316.17</v>
      </c>
      <c r="M61" s="25">
        <f t="shared" ref="M61:M70" si="24">(+K61-L61)/L61</f>
        <v>-7.0198316908157588E-2</v>
      </c>
      <c r="N61" s="10"/>
      <c r="R61" s="2"/>
    </row>
    <row r="62" spans="1:18" ht="15.75" x14ac:dyDescent="0.25">
      <c r="A62" s="19"/>
      <c r="B62" s="20">
        <f>DATE(2022,8,1)</f>
        <v>44774</v>
      </c>
      <c r="C62" s="21">
        <v>204381</v>
      </c>
      <c r="D62" s="21">
        <v>232853</v>
      </c>
      <c r="E62" s="23">
        <f t="shared" si="20"/>
        <v>-0.12227456807513754</v>
      </c>
      <c r="F62" s="21">
        <f>+C62-97907</f>
        <v>106474</v>
      </c>
      <c r="G62" s="21">
        <f>+D62-112411</f>
        <v>120442</v>
      </c>
      <c r="H62" s="23">
        <f t="shared" si="21"/>
        <v>-0.11597283339698776</v>
      </c>
      <c r="I62" s="24">
        <f t="shared" si="22"/>
        <v>74.903979968783787</v>
      </c>
      <c r="J62" s="24">
        <f t="shared" si="23"/>
        <v>143.78111398087796</v>
      </c>
      <c r="K62" s="21">
        <v>15308950.33</v>
      </c>
      <c r="L62" s="21">
        <v>13388857.550000001</v>
      </c>
      <c r="M62" s="25">
        <f t="shared" si="24"/>
        <v>0.1434097549271483</v>
      </c>
      <c r="N62" s="10"/>
      <c r="R62" s="2"/>
    </row>
    <row r="63" spans="1:18" ht="15.75" x14ac:dyDescent="0.25">
      <c r="A63" s="19"/>
      <c r="B63" s="20">
        <f>DATE(2022,9,1)</f>
        <v>44805</v>
      </c>
      <c r="C63" s="21">
        <v>195879</v>
      </c>
      <c r="D63" s="21">
        <v>224419</v>
      </c>
      <c r="E63" s="23">
        <f t="shared" si="20"/>
        <v>-0.12717283295977613</v>
      </c>
      <c r="F63" s="21">
        <f>+C63-93599</f>
        <v>102280</v>
      </c>
      <c r="G63" s="21">
        <f>+D63-105923</f>
        <v>118496</v>
      </c>
      <c r="H63" s="23">
        <f t="shared" si="21"/>
        <v>-0.1368485012152309</v>
      </c>
      <c r="I63" s="24">
        <f t="shared" si="22"/>
        <v>70.693720664287653</v>
      </c>
      <c r="J63" s="24">
        <f t="shared" si="23"/>
        <v>135.387322154869</v>
      </c>
      <c r="K63" s="21">
        <v>13847415.310000001</v>
      </c>
      <c r="L63" s="21">
        <v>14489840.68</v>
      </c>
      <c r="M63" s="25">
        <f t="shared" si="24"/>
        <v>-4.4336261811817185E-2</v>
      </c>
      <c r="N63" s="10"/>
      <c r="R63" s="2"/>
    </row>
    <row r="64" spans="1:18" ht="15.75" x14ac:dyDescent="0.25">
      <c r="A64" s="19"/>
      <c r="B64" s="20">
        <f>DATE(2022,10,1)</f>
        <v>44835</v>
      </c>
      <c r="C64" s="21">
        <v>197679</v>
      </c>
      <c r="D64" s="21">
        <v>231892</v>
      </c>
      <c r="E64" s="23">
        <f t="shared" si="20"/>
        <v>-0.14753850930605628</v>
      </c>
      <c r="F64" s="21">
        <f>+C64-94885</f>
        <v>102794</v>
      </c>
      <c r="G64" s="21">
        <f>+D64-109202</f>
        <v>122690</v>
      </c>
      <c r="H64" s="23">
        <f t="shared" si="21"/>
        <v>-0.16216480560762897</v>
      </c>
      <c r="I64" s="24">
        <f t="shared" si="22"/>
        <v>60.349407878429169</v>
      </c>
      <c r="J64" s="24">
        <f t="shared" si="23"/>
        <v>116.05551491332179</v>
      </c>
      <c r="K64" s="21">
        <v>11929810.6</v>
      </c>
      <c r="L64" s="21">
        <v>14909962.77</v>
      </c>
      <c r="M64" s="25">
        <f t="shared" si="24"/>
        <v>-0.19987656682793983</v>
      </c>
      <c r="N64" s="10"/>
      <c r="R64" s="2"/>
    </row>
    <row r="65" spans="1:18" ht="15.75" x14ac:dyDescent="0.25">
      <c r="A65" s="19"/>
      <c r="B65" s="20">
        <f>DATE(2022,11,1)</f>
        <v>44866</v>
      </c>
      <c r="C65" s="21">
        <v>191977</v>
      </c>
      <c r="D65" s="21">
        <v>219677</v>
      </c>
      <c r="E65" s="23">
        <f t="shared" si="20"/>
        <v>-0.12609422015049368</v>
      </c>
      <c r="F65" s="21">
        <f>+C65-91569</f>
        <v>100408</v>
      </c>
      <c r="G65" s="21">
        <f>+D65-102367</f>
        <v>117310</v>
      </c>
      <c r="H65" s="23">
        <f t="shared" si="21"/>
        <v>-0.14407978859432274</v>
      </c>
      <c r="I65" s="24">
        <f t="shared" si="22"/>
        <v>73.442121295780225</v>
      </c>
      <c r="J65" s="24">
        <f t="shared" si="23"/>
        <v>140.41907138873395</v>
      </c>
      <c r="K65" s="21">
        <v>14099198.119999999</v>
      </c>
      <c r="L65" s="21">
        <v>15078789.92</v>
      </c>
      <c r="M65" s="25">
        <f t="shared" si="24"/>
        <v>-6.4964881479030567E-2</v>
      </c>
      <c r="N65" s="10"/>
      <c r="R65" s="2"/>
    </row>
    <row r="66" spans="1:18" ht="15.75" x14ac:dyDescent="0.25">
      <c r="A66" s="19"/>
      <c r="B66" s="20">
        <f>DATE(2022,12,1)</f>
        <v>44896</v>
      </c>
      <c r="C66" s="21">
        <v>193245</v>
      </c>
      <c r="D66" s="21">
        <v>233380</v>
      </c>
      <c r="E66" s="23">
        <f t="shared" si="20"/>
        <v>-0.17197274830748135</v>
      </c>
      <c r="F66" s="21">
        <f>+C66-93799</f>
        <v>99446</v>
      </c>
      <c r="G66" s="21">
        <f>+D66-110272</f>
        <v>123108</v>
      </c>
      <c r="H66" s="23">
        <f t="shared" si="21"/>
        <v>-0.19220521818240893</v>
      </c>
      <c r="I66" s="24">
        <f t="shared" si="22"/>
        <v>76.366635617997872</v>
      </c>
      <c r="J66" s="24">
        <f t="shared" si="23"/>
        <v>148.39682340164512</v>
      </c>
      <c r="K66" s="21">
        <v>14757470.5</v>
      </c>
      <c r="L66" s="21">
        <v>14821041.199999999</v>
      </c>
      <c r="M66" s="25">
        <f t="shared" si="24"/>
        <v>-4.2892195725087959E-3</v>
      </c>
      <c r="N66" s="10"/>
      <c r="R66" s="2"/>
    </row>
    <row r="67" spans="1:18" ht="15.75" x14ac:dyDescent="0.25">
      <c r="A67" s="19"/>
      <c r="B67" s="20">
        <f>DATE(2023,1,1)</f>
        <v>44927</v>
      </c>
      <c r="C67" s="21">
        <v>186881</v>
      </c>
      <c r="D67" s="21">
        <v>196225</v>
      </c>
      <c r="E67" s="23">
        <f t="shared" si="20"/>
        <v>-4.7618804943304879E-2</v>
      </c>
      <c r="F67" s="21">
        <f>+C67-92185</f>
        <v>94696</v>
      </c>
      <c r="G67" s="21">
        <f>+D67-96553</f>
        <v>99672</v>
      </c>
      <c r="H67" s="23">
        <f t="shared" si="21"/>
        <v>-4.9923749899670918E-2</v>
      </c>
      <c r="I67" s="24">
        <f t="shared" si="22"/>
        <v>75.547369984107533</v>
      </c>
      <c r="J67" s="24">
        <f t="shared" si="23"/>
        <v>149.09149330489146</v>
      </c>
      <c r="K67" s="21">
        <v>14118368.050000001</v>
      </c>
      <c r="L67" s="21">
        <v>13979337.130000001</v>
      </c>
      <c r="M67" s="25">
        <f t="shared" si="24"/>
        <v>9.9454586942921749E-3</v>
      </c>
      <c r="N67" s="10"/>
      <c r="R67" s="2"/>
    </row>
    <row r="68" spans="1:18" ht="15.75" x14ac:dyDescent="0.25">
      <c r="A68" s="19"/>
      <c r="B68" s="20">
        <f>DATE(2023,2,1)</f>
        <v>44958</v>
      </c>
      <c r="C68" s="21">
        <v>182698</v>
      </c>
      <c r="D68" s="21">
        <v>198005</v>
      </c>
      <c r="E68" s="23">
        <f t="shared" si="20"/>
        <v>-7.7306128633115326E-2</v>
      </c>
      <c r="F68" s="21">
        <f>+C68-88434</f>
        <v>94264</v>
      </c>
      <c r="G68" s="21">
        <f>+D68-96853</f>
        <v>101152</v>
      </c>
      <c r="H68" s="23">
        <f t="shared" si="21"/>
        <v>-6.8095539386270165E-2</v>
      </c>
      <c r="I68" s="24">
        <f t="shared" si="22"/>
        <v>74.940197046492017</v>
      </c>
      <c r="J68" s="24">
        <f t="shared" si="23"/>
        <v>145.24552448442671</v>
      </c>
      <c r="K68" s="21">
        <v>13691424.119999999</v>
      </c>
      <c r="L68" s="21">
        <v>12112080.02</v>
      </c>
      <c r="M68" s="25">
        <f t="shared" si="24"/>
        <v>0.13039412697010894</v>
      </c>
      <c r="N68" s="10"/>
      <c r="R68" s="2"/>
    </row>
    <row r="69" spans="1:18" ht="15.75" x14ac:dyDescent="0.25">
      <c r="A69" s="19"/>
      <c r="B69" s="20">
        <f>DATE(2023,3,1)</f>
        <v>44986</v>
      </c>
      <c r="C69" s="21">
        <v>212491</v>
      </c>
      <c r="D69" s="21">
        <v>227322</v>
      </c>
      <c r="E69" s="23">
        <f t="shared" si="20"/>
        <v>-6.5242255479012148E-2</v>
      </c>
      <c r="F69" s="21">
        <f>+C69-103370</f>
        <v>109121</v>
      </c>
      <c r="G69" s="21">
        <f>+D69-110886</f>
        <v>116436</v>
      </c>
      <c r="H69" s="23">
        <f t="shared" si="21"/>
        <v>-6.2824212442887079E-2</v>
      </c>
      <c r="I69" s="24">
        <f t="shared" si="22"/>
        <v>76.918969838722589</v>
      </c>
      <c r="J69" s="24">
        <f t="shared" si="23"/>
        <v>149.78408207402791</v>
      </c>
      <c r="K69" s="21">
        <v>16344588.82</v>
      </c>
      <c r="L69" s="21">
        <v>16929937.09</v>
      </c>
      <c r="M69" s="25">
        <f t="shared" si="24"/>
        <v>-3.4574745723405374E-2</v>
      </c>
      <c r="N69" s="10"/>
      <c r="R69" s="2"/>
    </row>
    <row r="70" spans="1:18" ht="15.75" x14ac:dyDescent="0.25">
      <c r="A70" s="19"/>
      <c r="B70" s="20">
        <f>DATE(2023,4,1)</f>
        <v>45017</v>
      </c>
      <c r="C70" s="21">
        <v>192775</v>
      </c>
      <c r="D70" s="21">
        <v>220529</v>
      </c>
      <c r="E70" s="23">
        <f t="shared" si="20"/>
        <v>-0.12585192877127271</v>
      </c>
      <c r="F70" s="21">
        <f>+C70-92557</f>
        <v>100218</v>
      </c>
      <c r="G70" s="21">
        <f>+D70-106576</f>
        <v>113953</v>
      </c>
      <c r="H70" s="23">
        <f t="shared" si="21"/>
        <v>-0.12053214921941502</v>
      </c>
      <c r="I70" s="24">
        <f t="shared" si="22"/>
        <v>72.71869277655297</v>
      </c>
      <c r="J70" s="24">
        <f t="shared" si="23"/>
        <v>139.87852481590133</v>
      </c>
      <c r="K70" s="21">
        <v>14018346</v>
      </c>
      <c r="L70" s="21">
        <v>15730214.6</v>
      </c>
      <c r="M70" s="25">
        <f t="shared" si="24"/>
        <v>-0.10882677976942537</v>
      </c>
      <c r="N70" s="10"/>
      <c r="R70" s="2"/>
    </row>
    <row r="71" spans="1:18" ht="15.75" thickBot="1" x14ac:dyDescent="0.25">
      <c r="A71" s="38"/>
      <c r="B71" s="20"/>
      <c r="C71" s="21"/>
      <c r="D71" s="21"/>
      <c r="E71" s="23"/>
      <c r="F71" s="21"/>
      <c r="G71" s="21"/>
      <c r="H71" s="23"/>
      <c r="I71" s="24"/>
      <c r="J71" s="24"/>
      <c r="K71" s="21"/>
      <c r="L71" s="21"/>
      <c r="M71" s="25"/>
      <c r="N71" s="10"/>
      <c r="R71" s="2"/>
    </row>
    <row r="72" spans="1:18" ht="17.25" thickTop="1" thickBot="1" x14ac:dyDescent="0.3">
      <c r="A72" s="39" t="s">
        <v>14</v>
      </c>
      <c r="B72" s="40"/>
      <c r="C72" s="41">
        <f>SUM(C61:C71)</f>
        <v>1977136</v>
      </c>
      <c r="D72" s="41">
        <f>SUM(D61:D71)</f>
        <v>2240531</v>
      </c>
      <c r="E72" s="281">
        <f>(+C72-D72)/D72</f>
        <v>-0.1175591857465931</v>
      </c>
      <c r="F72" s="47">
        <f>SUM(F61:F71)</f>
        <v>1025415</v>
      </c>
      <c r="G72" s="48">
        <f>SUM(G61:G71)</f>
        <v>1168867</v>
      </c>
      <c r="H72" s="49">
        <f>(+F72-G72)/G72</f>
        <v>-0.12272739327913269</v>
      </c>
      <c r="I72" s="50">
        <f>K72/C72</f>
        <v>72.422373023403551</v>
      </c>
      <c r="J72" s="51">
        <f>K72/F72</f>
        <v>139.6399320372727</v>
      </c>
      <c r="K72" s="48">
        <f>SUM(K61:K71)</f>
        <v>143188880.91</v>
      </c>
      <c r="L72" s="47">
        <f>SUM(L61:L71)</f>
        <v>147651377.13</v>
      </c>
      <c r="M72" s="44">
        <f>(+K72-L72)/L72</f>
        <v>-3.022319403137692E-2</v>
      </c>
      <c r="N72" s="10"/>
      <c r="R72" s="2"/>
    </row>
    <row r="73" spans="1:18" ht="15.75" customHeight="1" thickTop="1" x14ac:dyDescent="0.25">
      <c r="A73" s="273"/>
      <c r="B73" s="45"/>
      <c r="C73" s="21"/>
      <c r="D73" s="21"/>
      <c r="E73" s="23"/>
      <c r="F73" s="21"/>
      <c r="G73" s="21"/>
      <c r="H73" s="23"/>
      <c r="I73" s="24"/>
      <c r="J73" s="24"/>
      <c r="K73" s="21"/>
      <c r="L73" s="21"/>
      <c r="M73" s="25"/>
      <c r="N73" s="10"/>
      <c r="R73" s="2"/>
    </row>
    <row r="74" spans="1:18" ht="15.75" x14ac:dyDescent="0.25">
      <c r="A74" s="274" t="s">
        <v>61</v>
      </c>
      <c r="B74" s="20">
        <f>DATE(2022,7,1)</f>
        <v>44743</v>
      </c>
      <c r="C74" s="21">
        <v>95268</v>
      </c>
      <c r="D74" s="21">
        <v>104293</v>
      </c>
      <c r="E74" s="23">
        <f t="shared" ref="E74:E83" si="25">(+C74-D74)/D74</f>
        <v>-8.6535050291007068E-2</v>
      </c>
      <c r="F74" s="21">
        <f>+C74-47922</f>
        <v>47346</v>
      </c>
      <c r="G74" s="21">
        <f>+D74-51816</f>
        <v>52477</v>
      </c>
      <c r="H74" s="23">
        <f t="shared" ref="H74:H83" si="26">(+F74-G74)/G74</f>
        <v>-9.7776168607199343E-2</v>
      </c>
      <c r="I74" s="24">
        <f t="shared" ref="I74:I83" si="27">K74/C74</f>
        <v>65.710942813956407</v>
      </c>
      <c r="J74" s="24">
        <f t="shared" ref="J74:J83" si="28">K74/F74</f>
        <v>132.22130908630083</v>
      </c>
      <c r="K74" s="21">
        <v>6260150.0999999996</v>
      </c>
      <c r="L74" s="21">
        <v>6473124.3399999999</v>
      </c>
      <c r="M74" s="25">
        <f t="shared" ref="M74:M83" si="29">(+K74-L74)/L74</f>
        <v>-3.2901305276023821E-2</v>
      </c>
      <c r="N74" s="10"/>
      <c r="R74" s="2"/>
    </row>
    <row r="75" spans="1:18" ht="15.75" x14ac:dyDescent="0.25">
      <c r="A75" s="274"/>
      <c r="B75" s="20">
        <f>DATE(2022,8,1)</f>
        <v>44774</v>
      </c>
      <c r="C75" s="21">
        <v>85207</v>
      </c>
      <c r="D75" s="21">
        <v>93122</v>
      </c>
      <c r="E75" s="23">
        <f t="shared" si="25"/>
        <v>-8.4996026717639228E-2</v>
      </c>
      <c r="F75" s="21">
        <f>+C75-42477</f>
        <v>42730</v>
      </c>
      <c r="G75" s="21">
        <f>+D75-46288</f>
        <v>46834</v>
      </c>
      <c r="H75" s="23">
        <f t="shared" si="26"/>
        <v>-8.7628645855575005E-2</v>
      </c>
      <c r="I75" s="24">
        <f t="shared" si="27"/>
        <v>64.139619866912341</v>
      </c>
      <c r="J75" s="24">
        <f t="shared" si="28"/>
        <v>127.8994755441142</v>
      </c>
      <c r="K75" s="21">
        <v>5465144.5899999999</v>
      </c>
      <c r="L75" s="21">
        <v>5866516.6699999999</v>
      </c>
      <c r="M75" s="25">
        <f t="shared" si="29"/>
        <v>-6.8417444725338186E-2</v>
      </c>
      <c r="N75" s="10"/>
      <c r="R75" s="2"/>
    </row>
    <row r="76" spans="1:18" ht="15.75" x14ac:dyDescent="0.25">
      <c r="A76" s="274"/>
      <c r="B76" s="20">
        <f>DATE(2022,9,1)</f>
        <v>44805</v>
      </c>
      <c r="C76" s="21">
        <v>84321</v>
      </c>
      <c r="D76" s="21">
        <v>92204</v>
      </c>
      <c r="E76" s="23">
        <f t="shared" si="25"/>
        <v>-8.5495206281723135E-2</v>
      </c>
      <c r="F76" s="21">
        <f>+C76-41917</f>
        <v>42404</v>
      </c>
      <c r="G76" s="21">
        <f>+D76-46055</f>
        <v>46149</v>
      </c>
      <c r="H76" s="23">
        <f t="shared" si="26"/>
        <v>-8.1150187436347485E-2</v>
      </c>
      <c r="I76" s="24">
        <f t="shared" si="27"/>
        <v>63.813756952597807</v>
      </c>
      <c r="J76" s="24">
        <f t="shared" si="28"/>
        <v>126.89462786529572</v>
      </c>
      <c r="K76" s="21">
        <v>5380839.7999999998</v>
      </c>
      <c r="L76" s="21">
        <v>5989167.1600000001</v>
      </c>
      <c r="M76" s="25">
        <f t="shared" si="29"/>
        <v>-0.10157127756641214</v>
      </c>
      <c r="N76" s="10"/>
      <c r="R76" s="2"/>
    </row>
    <row r="77" spans="1:18" ht="15.75" x14ac:dyDescent="0.25">
      <c r="A77" s="274"/>
      <c r="B77" s="20">
        <f>DATE(2022,10,1)</f>
        <v>44835</v>
      </c>
      <c r="C77" s="21">
        <v>85227</v>
      </c>
      <c r="D77" s="21">
        <v>93325</v>
      </c>
      <c r="E77" s="23">
        <f t="shared" si="25"/>
        <v>-8.6772033217251535E-2</v>
      </c>
      <c r="F77" s="21">
        <f>+C77-43095</f>
        <v>42132</v>
      </c>
      <c r="G77" s="21">
        <f>+D77-46461</f>
        <v>46864</v>
      </c>
      <c r="H77" s="23">
        <f t="shared" si="26"/>
        <v>-0.10097302833731649</v>
      </c>
      <c r="I77" s="24">
        <f t="shared" si="27"/>
        <v>64.750070048224146</v>
      </c>
      <c r="J77" s="24">
        <f t="shared" si="28"/>
        <v>130.98011535175164</v>
      </c>
      <c r="K77" s="21">
        <v>5518454.2199999997</v>
      </c>
      <c r="L77" s="21">
        <v>5764730.8099999996</v>
      </c>
      <c r="M77" s="25">
        <f t="shared" si="29"/>
        <v>-4.2721264551119582E-2</v>
      </c>
      <c r="N77" s="10"/>
      <c r="R77" s="2"/>
    </row>
    <row r="78" spans="1:18" ht="15.75" x14ac:dyDescent="0.25">
      <c r="A78" s="274"/>
      <c r="B78" s="20">
        <f>DATE(2022,11,1)</f>
        <v>44866</v>
      </c>
      <c r="C78" s="21">
        <v>76718</v>
      </c>
      <c r="D78" s="21">
        <v>87600</v>
      </c>
      <c r="E78" s="23">
        <f t="shared" si="25"/>
        <v>-0.12422374429223744</v>
      </c>
      <c r="F78" s="21">
        <f>+C78-38746</f>
        <v>37972</v>
      </c>
      <c r="G78" s="21">
        <f>+D78-43575</f>
        <v>44025</v>
      </c>
      <c r="H78" s="23">
        <f t="shared" si="26"/>
        <v>-0.13749006246450879</v>
      </c>
      <c r="I78" s="24">
        <f t="shared" si="27"/>
        <v>66.232644620558418</v>
      </c>
      <c r="J78" s="24">
        <f t="shared" si="28"/>
        <v>133.81533840724745</v>
      </c>
      <c r="K78" s="21">
        <v>5081236.03</v>
      </c>
      <c r="L78" s="21">
        <v>5685591.5499999998</v>
      </c>
      <c r="M78" s="25">
        <f t="shared" si="29"/>
        <v>-0.10629597899975765</v>
      </c>
      <c r="N78" s="10"/>
      <c r="R78" s="2"/>
    </row>
    <row r="79" spans="1:18" ht="15.75" x14ac:dyDescent="0.25">
      <c r="A79" s="274"/>
      <c r="B79" s="20">
        <f>DATE(2022,12,1)</f>
        <v>44896</v>
      </c>
      <c r="C79" s="21">
        <v>89653</v>
      </c>
      <c r="D79" s="21">
        <v>97815</v>
      </c>
      <c r="E79" s="23">
        <f t="shared" si="25"/>
        <v>-8.3443234677707923E-2</v>
      </c>
      <c r="F79" s="21">
        <f>+C79-45455</f>
        <v>44198</v>
      </c>
      <c r="G79" s="21">
        <f>+D79-49840</f>
        <v>47975</v>
      </c>
      <c r="H79" s="23">
        <f t="shared" si="26"/>
        <v>-7.8728504429390306E-2</v>
      </c>
      <c r="I79" s="24">
        <f t="shared" si="27"/>
        <v>61.353310095590771</v>
      </c>
      <c r="J79" s="24">
        <f t="shared" si="28"/>
        <v>124.45152065704329</v>
      </c>
      <c r="K79" s="21">
        <v>5500508.3099999996</v>
      </c>
      <c r="L79" s="21">
        <v>6306111.8899999997</v>
      </c>
      <c r="M79" s="25">
        <f t="shared" si="29"/>
        <v>-0.12774964892035878</v>
      </c>
      <c r="N79" s="10"/>
      <c r="R79" s="2"/>
    </row>
    <row r="80" spans="1:18" ht="15.75" x14ac:dyDescent="0.25">
      <c r="A80" s="274"/>
      <c r="B80" s="20">
        <f>DATE(2023,1,1)</f>
        <v>44927</v>
      </c>
      <c r="C80" s="21">
        <v>84414</v>
      </c>
      <c r="D80" s="21">
        <v>84178</v>
      </c>
      <c r="E80" s="23">
        <f t="shared" si="25"/>
        <v>2.8035828838889019E-3</v>
      </c>
      <c r="F80" s="21">
        <f>+C80-42996</f>
        <v>41418</v>
      </c>
      <c r="G80" s="21">
        <f>+D80-43196</f>
        <v>40982</v>
      </c>
      <c r="H80" s="23">
        <f t="shared" si="26"/>
        <v>1.0638817041628033E-2</v>
      </c>
      <c r="I80" s="24">
        <f t="shared" si="27"/>
        <v>62.734527448053647</v>
      </c>
      <c r="J80" s="24">
        <f t="shared" si="28"/>
        <v>127.8592013134386</v>
      </c>
      <c r="K80" s="21">
        <v>5295672.4000000004</v>
      </c>
      <c r="L80" s="21">
        <v>5555053.6900000004</v>
      </c>
      <c r="M80" s="25">
        <f t="shared" si="29"/>
        <v>-4.6692850235980347E-2</v>
      </c>
      <c r="N80" s="10"/>
      <c r="R80" s="2"/>
    </row>
    <row r="81" spans="1:18" ht="15.75" x14ac:dyDescent="0.25">
      <c r="A81" s="274"/>
      <c r="B81" s="20">
        <f>DATE(2023,2,1)</f>
        <v>44958</v>
      </c>
      <c r="C81" s="21">
        <v>89529</v>
      </c>
      <c r="D81" s="21">
        <v>86324</v>
      </c>
      <c r="E81" s="23">
        <f t="shared" si="25"/>
        <v>3.7127565914461792E-2</v>
      </c>
      <c r="F81" s="21">
        <f>+C81-46008</f>
        <v>43521</v>
      </c>
      <c r="G81" s="21">
        <f>+D81-44518</f>
        <v>41806</v>
      </c>
      <c r="H81" s="23">
        <f t="shared" si="26"/>
        <v>4.1022819690953449E-2</v>
      </c>
      <c r="I81" s="24">
        <f t="shared" si="27"/>
        <v>67.82320097398609</v>
      </c>
      <c r="J81" s="24">
        <f t="shared" si="28"/>
        <v>139.52214700948969</v>
      </c>
      <c r="K81" s="21">
        <v>6072143.3600000003</v>
      </c>
      <c r="L81" s="21">
        <v>5448548.2000000002</v>
      </c>
      <c r="M81" s="25">
        <f t="shared" si="29"/>
        <v>0.11445161850637572</v>
      </c>
      <c r="N81" s="10"/>
      <c r="R81" s="2"/>
    </row>
    <row r="82" spans="1:18" ht="15.75" x14ac:dyDescent="0.25">
      <c r="A82" s="274"/>
      <c r="B82" s="20">
        <f>DATE(2023,3,1)</f>
        <v>44986</v>
      </c>
      <c r="C82" s="21">
        <v>97318</v>
      </c>
      <c r="D82" s="21">
        <v>100361</v>
      </c>
      <c r="E82" s="23">
        <f t="shared" si="25"/>
        <v>-3.032054284034635E-2</v>
      </c>
      <c r="F82" s="21">
        <f>+C82-49664</f>
        <v>47654</v>
      </c>
      <c r="G82" s="21">
        <f>+D82-50984</f>
        <v>49377</v>
      </c>
      <c r="H82" s="23">
        <f t="shared" si="26"/>
        <v>-3.4894789071835068E-2</v>
      </c>
      <c r="I82" s="24">
        <f t="shared" si="27"/>
        <v>67.18391808298567</v>
      </c>
      <c r="J82" s="24">
        <f t="shared" si="28"/>
        <v>137.20158937339991</v>
      </c>
      <c r="K82" s="21">
        <v>6538204.54</v>
      </c>
      <c r="L82" s="21">
        <v>6763668.5800000001</v>
      </c>
      <c r="M82" s="25">
        <f t="shared" si="29"/>
        <v>-3.3334578318442686E-2</v>
      </c>
      <c r="N82" s="10"/>
      <c r="R82" s="2"/>
    </row>
    <row r="83" spans="1:18" ht="15.75" x14ac:dyDescent="0.25">
      <c r="A83" s="274"/>
      <c r="B83" s="20">
        <f>DATE(2023,4,1)</f>
        <v>45017</v>
      </c>
      <c r="C83" s="21">
        <v>86401</v>
      </c>
      <c r="D83" s="21">
        <v>97194</v>
      </c>
      <c r="E83" s="23">
        <f t="shared" si="25"/>
        <v>-0.11104594933843653</v>
      </c>
      <c r="F83" s="21">
        <f>+C83-43603</f>
        <v>42798</v>
      </c>
      <c r="G83" s="21">
        <f>+D83-49512</f>
        <v>47682</v>
      </c>
      <c r="H83" s="23">
        <f t="shared" si="26"/>
        <v>-0.10242858940480684</v>
      </c>
      <c r="I83" s="24">
        <f t="shared" si="27"/>
        <v>66.993180055786397</v>
      </c>
      <c r="J83" s="24">
        <f t="shared" si="28"/>
        <v>135.24645427356418</v>
      </c>
      <c r="K83" s="21">
        <v>5788277.75</v>
      </c>
      <c r="L83" s="21">
        <v>6372481.04</v>
      </c>
      <c r="M83" s="25">
        <f t="shared" si="29"/>
        <v>-9.1675955774989645E-2</v>
      </c>
      <c r="N83" s="10"/>
      <c r="R83" s="2"/>
    </row>
    <row r="84" spans="1:18" ht="15.75" customHeight="1" thickBot="1" x14ac:dyDescent="0.3">
      <c r="A84" s="19"/>
      <c r="B84" s="20"/>
      <c r="C84" s="21"/>
      <c r="D84" s="21"/>
      <c r="E84" s="23"/>
      <c r="F84" s="21"/>
      <c r="G84" s="21"/>
      <c r="H84" s="23"/>
      <c r="I84" s="24"/>
      <c r="J84" s="24"/>
      <c r="K84" s="21"/>
      <c r="L84" s="21"/>
      <c r="M84" s="25"/>
      <c r="N84" s="10"/>
      <c r="R84" s="2"/>
    </row>
    <row r="85" spans="1:18" ht="17.45" customHeight="1" thickTop="1" thickBot="1" x14ac:dyDescent="0.3">
      <c r="A85" s="39" t="s">
        <v>14</v>
      </c>
      <c r="B85" s="52"/>
      <c r="C85" s="47">
        <f>SUM(C74:C84)</f>
        <v>874056</v>
      </c>
      <c r="D85" s="48">
        <f>SUM(D74:D84)</f>
        <v>936416</v>
      </c>
      <c r="E85" s="281">
        <f>(+C85-D85)/D85</f>
        <v>-6.6594334142090691E-2</v>
      </c>
      <c r="F85" s="48">
        <f>SUM(F74:F84)</f>
        <v>432173</v>
      </c>
      <c r="G85" s="47">
        <f>SUM(G74:G84)</f>
        <v>464171</v>
      </c>
      <c r="H85" s="46">
        <f>(+F85-G85)/G85</f>
        <v>-6.8935801676537317E-2</v>
      </c>
      <c r="I85" s="51">
        <f>K85/C85</f>
        <v>65.099525774092271</v>
      </c>
      <c r="J85" s="50">
        <f>K85/F85</f>
        <v>131.66169820881913</v>
      </c>
      <c r="K85" s="47">
        <f>SUM(K74:K84)</f>
        <v>56900631.099999994</v>
      </c>
      <c r="L85" s="48">
        <f>SUM(L74:L84)</f>
        <v>60224993.93</v>
      </c>
      <c r="M85" s="44">
        <f>(+K85-L85)/L85</f>
        <v>-5.5199056289884224E-2</v>
      </c>
      <c r="N85" s="10"/>
      <c r="R85" s="2"/>
    </row>
    <row r="86" spans="1:18" ht="15.75" customHeight="1" thickTop="1" x14ac:dyDescent="0.25">
      <c r="A86" s="19"/>
      <c r="B86" s="45"/>
      <c r="C86" s="21"/>
      <c r="D86" s="21"/>
      <c r="E86" s="23"/>
      <c r="F86" s="21"/>
      <c r="G86" s="21"/>
      <c r="H86" s="23"/>
      <c r="I86" s="24"/>
      <c r="J86" s="24"/>
      <c r="K86" s="21"/>
      <c r="L86" s="21"/>
      <c r="M86" s="25"/>
      <c r="N86" s="10"/>
      <c r="R86" s="2"/>
    </row>
    <row r="87" spans="1:18" ht="15.75" x14ac:dyDescent="0.25">
      <c r="A87" s="19" t="s">
        <v>67</v>
      </c>
      <c r="B87" s="20">
        <f>DATE(2022,7,1)</f>
        <v>44743</v>
      </c>
      <c r="C87" s="21">
        <v>220596</v>
      </c>
      <c r="D87" s="21">
        <v>224693</v>
      </c>
      <c r="E87" s="23">
        <f t="shared" ref="E87:E96" si="30">(+C87-D87)/D87</f>
        <v>-1.8233767852136026E-2</v>
      </c>
      <c r="F87" s="21">
        <f>+C87-105104</f>
        <v>115492</v>
      </c>
      <c r="G87" s="21">
        <f>+D87-121301</f>
        <v>103392</v>
      </c>
      <c r="H87" s="23">
        <f t="shared" ref="H87:H96" si="31">(+F87-G87)/G87</f>
        <v>0.11703033116682142</v>
      </c>
      <c r="I87" s="24">
        <f t="shared" ref="I87:I96" si="32">K87/C87</f>
        <v>48.082389617218809</v>
      </c>
      <c r="J87" s="24">
        <f t="shared" ref="J87:J96" si="33">K87/F87</f>
        <v>91.839978699823362</v>
      </c>
      <c r="K87" s="21">
        <v>10606782.82</v>
      </c>
      <c r="L87" s="21">
        <v>9513693.5700000003</v>
      </c>
      <c r="M87" s="25">
        <f t="shared" ref="M87:M96" si="34">(+K87-L87)/L87</f>
        <v>0.11489641136297392</v>
      </c>
      <c r="N87" s="10"/>
      <c r="R87" s="2"/>
    </row>
    <row r="88" spans="1:18" ht="15.75" x14ac:dyDescent="0.25">
      <c r="A88" s="19"/>
      <c r="B88" s="20">
        <f>DATE(2022,8,1)</f>
        <v>44774</v>
      </c>
      <c r="C88" s="21">
        <v>204208</v>
      </c>
      <c r="D88" s="21">
        <v>253687</v>
      </c>
      <c r="E88" s="23">
        <f t="shared" si="30"/>
        <v>-0.19503955661898323</v>
      </c>
      <c r="F88" s="21">
        <f>+C88-95602</f>
        <v>108606</v>
      </c>
      <c r="G88" s="21">
        <f>+D88-139919</f>
        <v>113768</v>
      </c>
      <c r="H88" s="23">
        <f t="shared" si="31"/>
        <v>-4.5373039870613883E-2</v>
      </c>
      <c r="I88" s="24">
        <f t="shared" si="32"/>
        <v>50.441069742615376</v>
      </c>
      <c r="J88" s="24">
        <f t="shared" si="33"/>
        <v>94.842549859123807</v>
      </c>
      <c r="K88" s="21">
        <v>10300469.970000001</v>
      </c>
      <c r="L88" s="21">
        <v>9470339.9399999995</v>
      </c>
      <c r="M88" s="25">
        <f t="shared" si="34"/>
        <v>8.7655779545332907E-2</v>
      </c>
      <c r="N88" s="10"/>
      <c r="R88" s="2"/>
    </row>
    <row r="89" spans="1:18" ht="15.75" x14ac:dyDescent="0.25">
      <c r="A89" s="19"/>
      <c r="B89" s="20">
        <f>DATE(2022,9,1)</f>
        <v>44805</v>
      </c>
      <c r="C89" s="21">
        <v>202639</v>
      </c>
      <c r="D89" s="21">
        <v>235488</v>
      </c>
      <c r="E89" s="23">
        <f t="shared" si="30"/>
        <v>-0.13949330751460795</v>
      </c>
      <c r="F89" s="21">
        <f>+C89-96056</f>
        <v>106583</v>
      </c>
      <c r="G89" s="21">
        <f>+D89-117319</f>
        <v>118169</v>
      </c>
      <c r="H89" s="23">
        <f t="shared" si="31"/>
        <v>-9.8046018837427751E-2</v>
      </c>
      <c r="I89" s="24">
        <f t="shared" si="32"/>
        <v>48.50680421833902</v>
      </c>
      <c r="J89" s="24">
        <f t="shared" si="33"/>
        <v>92.222683730050761</v>
      </c>
      <c r="K89" s="21">
        <v>9829370.3000000007</v>
      </c>
      <c r="L89" s="21">
        <v>10050706.73</v>
      </c>
      <c r="M89" s="25">
        <f t="shared" si="34"/>
        <v>-2.2021976757051361E-2</v>
      </c>
      <c r="N89" s="10"/>
      <c r="R89" s="2"/>
    </row>
    <row r="90" spans="1:18" ht="15.75" x14ac:dyDescent="0.25">
      <c r="A90" s="19"/>
      <c r="B90" s="20">
        <f>DATE(2022,10,1)</f>
        <v>44835</v>
      </c>
      <c r="C90" s="21">
        <v>197805</v>
      </c>
      <c r="D90" s="21">
        <v>221802</v>
      </c>
      <c r="E90" s="23">
        <f t="shared" si="30"/>
        <v>-0.10819108934996077</v>
      </c>
      <c r="F90" s="21">
        <f>+C90-92993</f>
        <v>104812</v>
      </c>
      <c r="G90" s="21">
        <f>+D90-108914</f>
        <v>112888</v>
      </c>
      <c r="H90" s="23">
        <f t="shared" si="31"/>
        <v>-7.1539933385302248E-2</v>
      </c>
      <c r="I90" s="24">
        <f t="shared" si="32"/>
        <v>52.670724299183533</v>
      </c>
      <c r="J90" s="24">
        <f t="shared" si="33"/>
        <v>99.402097278937518</v>
      </c>
      <c r="K90" s="21">
        <v>10418532.619999999</v>
      </c>
      <c r="L90" s="21">
        <v>10399038.17</v>
      </c>
      <c r="M90" s="25">
        <f t="shared" si="34"/>
        <v>1.8746397196846962E-3</v>
      </c>
      <c r="N90" s="10"/>
      <c r="R90" s="2"/>
    </row>
    <row r="91" spans="1:18" ht="15.75" x14ac:dyDescent="0.25">
      <c r="A91" s="19"/>
      <c r="B91" s="20">
        <f>DATE(2022,11,1)</f>
        <v>44866</v>
      </c>
      <c r="C91" s="21">
        <v>202426</v>
      </c>
      <c r="D91" s="21">
        <v>202081</v>
      </c>
      <c r="E91" s="23">
        <f t="shared" si="30"/>
        <v>1.7072362072634241E-3</v>
      </c>
      <c r="F91" s="21">
        <f>+C91-94010</f>
        <v>108416</v>
      </c>
      <c r="G91" s="21">
        <f>+D91-97991</f>
        <v>104090</v>
      </c>
      <c r="H91" s="23">
        <f t="shared" si="31"/>
        <v>4.1560188298587764E-2</v>
      </c>
      <c r="I91" s="24">
        <f t="shared" si="32"/>
        <v>52.038107011945101</v>
      </c>
      <c r="J91" s="24">
        <f t="shared" si="33"/>
        <v>97.161543037927984</v>
      </c>
      <c r="K91" s="21">
        <v>10533865.85</v>
      </c>
      <c r="L91" s="21">
        <v>9591289.6799999997</v>
      </c>
      <c r="M91" s="25">
        <f t="shared" si="34"/>
        <v>9.8274184332632936E-2</v>
      </c>
      <c r="N91" s="10"/>
      <c r="R91" s="2"/>
    </row>
    <row r="92" spans="1:18" ht="15.75" x14ac:dyDescent="0.25">
      <c r="A92" s="19"/>
      <c r="B92" s="20">
        <f>DATE(2022,12,1)</f>
        <v>44896</v>
      </c>
      <c r="C92" s="21">
        <v>223223</v>
      </c>
      <c r="D92" s="21">
        <v>205858</v>
      </c>
      <c r="E92" s="23">
        <f t="shared" si="30"/>
        <v>8.4354263618610884E-2</v>
      </c>
      <c r="F92" s="21">
        <f>+C92-104081</f>
        <v>119142</v>
      </c>
      <c r="G92" s="21">
        <f>+D92-97374</f>
        <v>108484</v>
      </c>
      <c r="H92" s="23">
        <f t="shared" si="31"/>
        <v>9.8244902474097562E-2</v>
      </c>
      <c r="I92" s="24">
        <f t="shared" si="32"/>
        <v>47.766320809235609</v>
      </c>
      <c r="J92" s="24">
        <f t="shared" si="33"/>
        <v>89.494396854174013</v>
      </c>
      <c r="K92" s="21">
        <v>10662541.43</v>
      </c>
      <c r="L92" s="21">
        <v>10189799.08</v>
      </c>
      <c r="M92" s="25">
        <f t="shared" si="34"/>
        <v>4.6393687087302182E-2</v>
      </c>
      <c r="N92" s="10"/>
      <c r="R92" s="2"/>
    </row>
    <row r="93" spans="1:18" ht="15.75" x14ac:dyDescent="0.25">
      <c r="A93" s="19"/>
      <c r="B93" s="20">
        <f>DATE(2023,1,1)</f>
        <v>44927</v>
      </c>
      <c r="C93" s="21">
        <v>215124</v>
      </c>
      <c r="D93" s="21">
        <v>179199</v>
      </c>
      <c r="E93" s="23">
        <f t="shared" si="30"/>
        <v>0.20047544908174711</v>
      </c>
      <c r="F93" s="21">
        <f>+C93-101475</f>
        <v>113649</v>
      </c>
      <c r="G93" s="21">
        <f>+D93-85727</f>
        <v>93472</v>
      </c>
      <c r="H93" s="23">
        <f t="shared" si="31"/>
        <v>0.21586143444026018</v>
      </c>
      <c r="I93" s="24">
        <f t="shared" si="32"/>
        <v>50.618131635707776</v>
      </c>
      <c r="J93" s="24">
        <f t="shared" si="33"/>
        <v>95.814085033744234</v>
      </c>
      <c r="K93" s="21">
        <v>10889174.949999999</v>
      </c>
      <c r="L93" s="21">
        <v>9122057.7699999996</v>
      </c>
      <c r="M93" s="25">
        <f t="shared" si="34"/>
        <v>0.19371913931652285</v>
      </c>
      <c r="N93" s="10"/>
      <c r="R93" s="2"/>
    </row>
    <row r="94" spans="1:18" ht="15.75" x14ac:dyDescent="0.25">
      <c r="A94" s="19"/>
      <c r="B94" s="20">
        <f>DATE(2023,2,1)</f>
        <v>44958</v>
      </c>
      <c r="C94" s="21">
        <v>200796</v>
      </c>
      <c r="D94" s="21">
        <v>184738</v>
      </c>
      <c r="E94" s="23">
        <f t="shared" si="30"/>
        <v>8.692310190648378E-2</v>
      </c>
      <c r="F94" s="21">
        <f>+C94-95531</f>
        <v>105265</v>
      </c>
      <c r="G94" s="21">
        <f>+D94-91368</f>
        <v>93370</v>
      </c>
      <c r="H94" s="23">
        <f t="shared" si="31"/>
        <v>0.12739637999357395</v>
      </c>
      <c r="I94" s="24">
        <f t="shared" si="32"/>
        <v>51.483439012729335</v>
      </c>
      <c r="J94" s="24">
        <f t="shared" si="33"/>
        <v>98.206133282667551</v>
      </c>
      <c r="K94" s="21">
        <v>10337668.619999999</v>
      </c>
      <c r="L94" s="21">
        <v>9241774.3399999999</v>
      </c>
      <c r="M94" s="25">
        <f t="shared" si="34"/>
        <v>0.11858050626239369</v>
      </c>
      <c r="N94" s="10"/>
      <c r="R94" s="2"/>
    </row>
    <row r="95" spans="1:18" ht="15.75" x14ac:dyDescent="0.25">
      <c r="A95" s="19"/>
      <c r="B95" s="20">
        <f>DATE(2023,3,1)</f>
        <v>44986</v>
      </c>
      <c r="C95" s="21">
        <v>225404</v>
      </c>
      <c r="D95" s="21">
        <v>215256</v>
      </c>
      <c r="E95" s="23">
        <f t="shared" si="30"/>
        <v>4.7143865908499644E-2</v>
      </c>
      <c r="F95" s="21">
        <f>+C95-108230</f>
        <v>117174</v>
      </c>
      <c r="G95" s="21">
        <f>+D95-103637</f>
        <v>111619</v>
      </c>
      <c r="H95" s="23">
        <f t="shared" si="31"/>
        <v>4.976751269945081E-2</v>
      </c>
      <c r="I95" s="24">
        <f t="shared" si="32"/>
        <v>51.344576227573597</v>
      </c>
      <c r="J95" s="24">
        <f t="shared" si="33"/>
        <v>98.769973372932554</v>
      </c>
      <c r="K95" s="21">
        <v>11573272.859999999</v>
      </c>
      <c r="L95" s="21">
        <v>11149265.039999999</v>
      </c>
      <c r="M95" s="25">
        <f t="shared" si="34"/>
        <v>3.8030113956282835E-2</v>
      </c>
      <c r="N95" s="10"/>
      <c r="R95" s="2"/>
    </row>
    <row r="96" spans="1:18" ht="15.75" x14ac:dyDescent="0.25">
      <c r="A96" s="19"/>
      <c r="B96" s="20">
        <f>DATE(2023,4,1)</f>
        <v>45017</v>
      </c>
      <c r="C96" s="21">
        <v>208444</v>
      </c>
      <c r="D96" s="21">
        <v>212913</v>
      </c>
      <c r="E96" s="23">
        <f t="shared" si="30"/>
        <v>-2.0989793953398807E-2</v>
      </c>
      <c r="F96" s="21">
        <f>+C96-100216</f>
        <v>108228</v>
      </c>
      <c r="G96" s="21">
        <f>+D96-100552</f>
        <v>112361</v>
      </c>
      <c r="H96" s="23">
        <f t="shared" si="31"/>
        <v>-3.6783225496391098E-2</v>
      </c>
      <c r="I96" s="24">
        <f t="shared" si="32"/>
        <v>53.696354272610385</v>
      </c>
      <c r="J96" s="24">
        <f t="shared" si="33"/>
        <v>103.41762639982259</v>
      </c>
      <c r="K96" s="21">
        <v>11192682.869999999</v>
      </c>
      <c r="L96" s="21">
        <v>11145700.16</v>
      </c>
      <c r="M96" s="25">
        <f t="shared" si="34"/>
        <v>4.2153215433348807E-3</v>
      </c>
      <c r="N96" s="10"/>
      <c r="R96" s="2"/>
    </row>
    <row r="97" spans="1:18" ht="15.75" customHeight="1" thickBot="1" x14ac:dyDescent="0.3">
      <c r="A97" s="19"/>
      <c r="B97" s="45"/>
      <c r="C97" s="21"/>
      <c r="D97" s="21"/>
      <c r="E97" s="23"/>
      <c r="F97" s="21"/>
      <c r="G97" s="21"/>
      <c r="H97" s="23"/>
      <c r="I97" s="24"/>
      <c r="J97" s="24"/>
      <c r="K97" s="21"/>
      <c r="L97" s="21"/>
      <c r="M97" s="25"/>
      <c r="N97" s="10"/>
      <c r="R97" s="2"/>
    </row>
    <row r="98" spans="1:18" ht="17.45" customHeight="1" thickTop="1" thickBot="1" x14ac:dyDescent="0.3">
      <c r="A98" s="39" t="s">
        <v>14</v>
      </c>
      <c r="B98" s="52"/>
      <c r="C98" s="47">
        <f>SUM(C87:C97)</f>
        <v>2100665</v>
      </c>
      <c r="D98" s="48">
        <f>SUM(D87:D97)</f>
        <v>2135715</v>
      </c>
      <c r="E98" s="281">
        <f>(+C98-D98)/D98</f>
        <v>-1.6411365748707107E-2</v>
      </c>
      <c r="F98" s="48">
        <f>SUM(F87:F97)</f>
        <v>1107367</v>
      </c>
      <c r="G98" s="47">
        <f>SUM(G87:G97)</f>
        <v>1071613</v>
      </c>
      <c r="H98" s="53">
        <f>(+F98-G98)/G98</f>
        <v>3.3364656830404259E-2</v>
      </c>
      <c r="I98" s="51">
        <f>K98/C98</f>
        <v>50.624141540893007</v>
      </c>
      <c r="J98" s="50">
        <f>K98/F98</f>
        <v>96.033530247876271</v>
      </c>
      <c r="K98" s="47">
        <f>SUM(K87:K97)</f>
        <v>106344362.29000001</v>
      </c>
      <c r="L98" s="48">
        <f>SUM(L87:L97)</f>
        <v>99873664.479999989</v>
      </c>
      <c r="M98" s="44">
        <f>(+K98-L98)/L98</f>
        <v>6.4788829404530304E-2</v>
      </c>
      <c r="N98" s="10"/>
      <c r="R98" s="2"/>
    </row>
    <row r="99" spans="1:18" ht="15.75" customHeight="1" thickTop="1" x14ac:dyDescent="0.25">
      <c r="A99" s="19"/>
      <c r="B99" s="45"/>
      <c r="C99" s="21"/>
      <c r="D99" s="21"/>
      <c r="E99" s="23"/>
      <c r="F99" s="21"/>
      <c r="G99" s="21"/>
      <c r="H99" s="23"/>
      <c r="I99" s="24"/>
      <c r="J99" s="24"/>
      <c r="K99" s="21"/>
      <c r="L99" s="21"/>
      <c r="M99" s="25"/>
      <c r="N99" s="10"/>
      <c r="R99" s="2"/>
    </row>
    <row r="100" spans="1:18" ht="15.75" customHeight="1" x14ac:dyDescent="0.25">
      <c r="A100" s="19" t="s">
        <v>69</v>
      </c>
      <c r="B100" s="20">
        <f>DATE(2022,7,1)</f>
        <v>44743</v>
      </c>
      <c r="C100" s="21">
        <v>226300</v>
      </c>
      <c r="D100" s="21">
        <v>251090</v>
      </c>
      <c r="E100" s="23">
        <f t="shared" ref="E100:E109" si="35">(+C100-D100)/D100</f>
        <v>-9.8729539209048547E-2</v>
      </c>
      <c r="F100" s="21">
        <f>+C100-105791</f>
        <v>120509</v>
      </c>
      <c r="G100" s="21">
        <f>+D100-113536</f>
        <v>137554</v>
      </c>
      <c r="H100" s="23">
        <f t="shared" ref="H100:H109" si="36">(+F100-G100)/G100</f>
        <v>-0.12391497157479972</v>
      </c>
      <c r="I100" s="24">
        <f t="shared" ref="I100:I109" si="37">K100/C100</f>
        <v>58.190034202386215</v>
      </c>
      <c r="J100" s="24">
        <f t="shared" ref="J100:J109" si="38">K100/F100</f>
        <v>109.27320565268984</v>
      </c>
      <c r="K100" s="21">
        <v>13168404.74</v>
      </c>
      <c r="L100" s="21">
        <v>14822103.82</v>
      </c>
      <c r="M100" s="25">
        <f t="shared" ref="M100:M109" si="39">(+K100-L100)/L100</f>
        <v>-0.111569794685192</v>
      </c>
      <c r="N100" s="10"/>
      <c r="R100" s="2"/>
    </row>
    <row r="101" spans="1:18" ht="15.75" customHeight="1" x14ac:dyDescent="0.25">
      <c r="A101" s="19"/>
      <c r="B101" s="20">
        <f>DATE(2022,8,1)</f>
        <v>44774</v>
      </c>
      <c r="C101" s="21">
        <v>232585</v>
      </c>
      <c r="D101" s="21">
        <v>215479</v>
      </c>
      <c r="E101" s="23">
        <f t="shared" si="35"/>
        <v>7.9385926238751806E-2</v>
      </c>
      <c r="F101" s="21">
        <f>+C101-107552</f>
        <v>125033</v>
      </c>
      <c r="G101" s="21">
        <f>+D101-96518</f>
        <v>118961</v>
      </c>
      <c r="H101" s="23">
        <f t="shared" si="36"/>
        <v>5.1041938114171868E-2</v>
      </c>
      <c r="I101" s="24">
        <f t="shared" si="37"/>
        <v>59.882285830986518</v>
      </c>
      <c r="J101" s="24">
        <f t="shared" si="38"/>
        <v>111.3923640158998</v>
      </c>
      <c r="K101" s="21">
        <v>13927721.449999999</v>
      </c>
      <c r="L101" s="21">
        <v>13122626.66</v>
      </c>
      <c r="M101" s="25">
        <f t="shared" si="39"/>
        <v>6.1351649396082043E-2</v>
      </c>
      <c r="N101" s="10"/>
      <c r="R101" s="2"/>
    </row>
    <row r="102" spans="1:18" ht="15.75" customHeight="1" x14ac:dyDescent="0.25">
      <c r="A102" s="19"/>
      <c r="B102" s="20">
        <f>DATE(2022,9,1)</f>
        <v>44805</v>
      </c>
      <c r="C102" s="21">
        <v>229799</v>
      </c>
      <c r="D102" s="21">
        <v>213931</v>
      </c>
      <c r="E102" s="23">
        <f t="shared" si="35"/>
        <v>7.4173448448331472E-2</v>
      </c>
      <c r="F102" s="21">
        <f>+C102-107359</f>
        <v>122440</v>
      </c>
      <c r="G102" s="21">
        <f>+D102-98283</f>
        <v>115648</v>
      </c>
      <c r="H102" s="23">
        <f t="shared" si="36"/>
        <v>5.8729939125622577E-2</v>
      </c>
      <c r="I102" s="24">
        <f t="shared" si="37"/>
        <v>58.842503709763747</v>
      </c>
      <c r="J102" s="24">
        <f t="shared" si="38"/>
        <v>110.43734490362627</v>
      </c>
      <c r="K102" s="21">
        <v>13521948.51</v>
      </c>
      <c r="L102" s="21">
        <v>12121290.84</v>
      </c>
      <c r="M102" s="25">
        <f t="shared" si="39"/>
        <v>0.1155535073358573</v>
      </c>
      <c r="N102" s="10"/>
      <c r="R102" s="2"/>
    </row>
    <row r="103" spans="1:18" ht="15.75" customHeight="1" x14ac:dyDescent="0.25">
      <c r="A103" s="19"/>
      <c r="B103" s="20">
        <f>DATE(2022,10,1)</f>
        <v>44835</v>
      </c>
      <c r="C103" s="21">
        <v>212700</v>
      </c>
      <c r="D103" s="21">
        <v>212915</v>
      </c>
      <c r="E103" s="23">
        <f t="shared" si="35"/>
        <v>-1.009792640255501E-3</v>
      </c>
      <c r="F103" s="21">
        <f>+C103-99072</f>
        <v>113628</v>
      </c>
      <c r="G103" s="21">
        <f>+D103-99053</f>
        <v>113862</v>
      </c>
      <c r="H103" s="23">
        <f t="shared" si="36"/>
        <v>-2.0551193550086945E-3</v>
      </c>
      <c r="I103" s="24">
        <f t="shared" si="37"/>
        <v>60.887781805359658</v>
      </c>
      <c r="J103" s="24">
        <f t="shared" si="38"/>
        <v>113.97570308374696</v>
      </c>
      <c r="K103" s="21">
        <v>12950831.189999999</v>
      </c>
      <c r="L103" s="21">
        <v>12831260.619999999</v>
      </c>
      <c r="M103" s="25">
        <f t="shared" si="39"/>
        <v>9.3186923359366933E-3</v>
      </c>
      <c r="N103" s="10"/>
      <c r="R103" s="2"/>
    </row>
    <row r="104" spans="1:18" ht="15.75" customHeight="1" x14ac:dyDescent="0.25">
      <c r="A104" s="19"/>
      <c r="B104" s="20">
        <f>DATE(2022,11,1)</f>
        <v>44866</v>
      </c>
      <c r="C104" s="21">
        <v>191508</v>
      </c>
      <c r="D104" s="21">
        <v>184421</v>
      </c>
      <c r="E104" s="23">
        <f t="shared" si="35"/>
        <v>3.8428378546911689E-2</v>
      </c>
      <c r="F104" s="21">
        <f>+C104-91306</f>
        <v>100202</v>
      </c>
      <c r="G104" s="21">
        <f>+D104-84660</f>
        <v>99761</v>
      </c>
      <c r="H104" s="23">
        <f t="shared" si="36"/>
        <v>4.4205651507101974E-3</v>
      </c>
      <c r="I104" s="24">
        <f t="shared" si="37"/>
        <v>61.98403789920004</v>
      </c>
      <c r="J104" s="24">
        <f t="shared" si="38"/>
        <v>118.46509181453465</v>
      </c>
      <c r="K104" s="21">
        <v>11870439.130000001</v>
      </c>
      <c r="L104" s="21">
        <v>11874815.390000001</v>
      </c>
      <c r="M104" s="25">
        <f t="shared" si="39"/>
        <v>-3.6853288714577451E-4</v>
      </c>
      <c r="N104" s="10"/>
      <c r="R104" s="2"/>
    </row>
    <row r="105" spans="1:18" ht="15.75" customHeight="1" x14ac:dyDescent="0.25">
      <c r="A105" s="19"/>
      <c r="B105" s="20">
        <f>DATE(2022,12,1)</f>
        <v>44896</v>
      </c>
      <c r="C105" s="21">
        <v>214147</v>
      </c>
      <c r="D105" s="21">
        <v>211464</v>
      </c>
      <c r="E105" s="23">
        <f t="shared" si="35"/>
        <v>1.2687738811334316E-2</v>
      </c>
      <c r="F105" s="21">
        <f>+C105-102215</f>
        <v>111932</v>
      </c>
      <c r="G105" s="21">
        <f>+D105-97323</f>
        <v>114141</v>
      </c>
      <c r="H105" s="23">
        <f t="shared" si="36"/>
        <v>-1.9353256060486591E-2</v>
      </c>
      <c r="I105" s="24">
        <f t="shared" si="37"/>
        <v>60.966842963011388</v>
      </c>
      <c r="J105" s="24">
        <f t="shared" si="38"/>
        <v>116.64105456884536</v>
      </c>
      <c r="K105" s="21">
        <v>13055866.52</v>
      </c>
      <c r="L105" s="21">
        <v>12543331.57</v>
      </c>
      <c r="M105" s="25">
        <f t="shared" si="39"/>
        <v>4.0861149778248208E-2</v>
      </c>
      <c r="N105" s="10"/>
      <c r="R105" s="2"/>
    </row>
    <row r="106" spans="1:18" ht="15.75" customHeight="1" x14ac:dyDescent="0.25">
      <c r="A106" s="19"/>
      <c r="B106" s="20">
        <f>DATE(2023,1,1)</f>
        <v>44927</v>
      </c>
      <c r="C106" s="21">
        <v>203689</v>
      </c>
      <c r="D106" s="21">
        <v>184238</v>
      </c>
      <c r="E106" s="23">
        <f t="shared" si="35"/>
        <v>0.1055753970407842</v>
      </c>
      <c r="F106" s="21">
        <f>+C106-97201</f>
        <v>106488</v>
      </c>
      <c r="G106" s="21">
        <f>+D106-86833</f>
        <v>97405</v>
      </c>
      <c r="H106" s="23">
        <f t="shared" si="36"/>
        <v>9.3249833170781782E-2</v>
      </c>
      <c r="I106" s="24">
        <f t="shared" si="37"/>
        <v>58.669221852922846</v>
      </c>
      <c r="J106" s="24">
        <f t="shared" si="38"/>
        <v>112.22180086019083</v>
      </c>
      <c r="K106" s="21">
        <v>11950275.130000001</v>
      </c>
      <c r="L106" s="21">
        <v>10689277.77</v>
      </c>
      <c r="M106" s="25">
        <f t="shared" si="39"/>
        <v>0.11796843408252093</v>
      </c>
      <c r="N106" s="10"/>
      <c r="R106" s="2"/>
    </row>
    <row r="107" spans="1:18" ht="15.75" customHeight="1" x14ac:dyDescent="0.25">
      <c r="A107" s="19"/>
      <c r="B107" s="20">
        <f>DATE(2023,2,1)</f>
        <v>44958</v>
      </c>
      <c r="C107" s="21">
        <v>207907</v>
      </c>
      <c r="D107" s="21">
        <v>186083</v>
      </c>
      <c r="E107" s="23">
        <f t="shared" si="35"/>
        <v>0.11728099826421542</v>
      </c>
      <c r="F107" s="21">
        <f>+C107-99209</f>
        <v>108698</v>
      </c>
      <c r="G107" s="21">
        <f>+D107-88690</f>
        <v>97393</v>
      </c>
      <c r="H107" s="23">
        <f t="shared" si="36"/>
        <v>0.11607610403211729</v>
      </c>
      <c r="I107" s="24">
        <f t="shared" si="37"/>
        <v>60.509029566104076</v>
      </c>
      <c r="J107" s="24">
        <f t="shared" si="38"/>
        <v>115.73580755855674</v>
      </c>
      <c r="K107" s="21">
        <v>12580250.810000001</v>
      </c>
      <c r="L107" s="21">
        <v>11335666.43</v>
      </c>
      <c r="M107" s="25">
        <f t="shared" si="39"/>
        <v>0.10979366653787473</v>
      </c>
      <c r="N107" s="10"/>
      <c r="R107" s="2"/>
    </row>
    <row r="108" spans="1:18" ht="15.75" customHeight="1" x14ac:dyDescent="0.25">
      <c r="A108" s="19"/>
      <c r="B108" s="20">
        <f>DATE(2023,3,1)</f>
        <v>44986</v>
      </c>
      <c r="C108" s="21">
        <v>231900</v>
      </c>
      <c r="D108" s="21">
        <v>236729</v>
      </c>
      <c r="E108" s="23">
        <f t="shared" si="35"/>
        <v>-2.0398852696543304E-2</v>
      </c>
      <c r="F108" s="21">
        <f>+C108-108329</f>
        <v>123571</v>
      </c>
      <c r="G108" s="21">
        <f>+D108-111747</f>
        <v>124982</v>
      </c>
      <c r="H108" s="23">
        <f t="shared" si="36"/>
        <v>-1.1289625706101678E-2</v>
      </c>
      <c r="I108" s="24">
        <f t="shared" si="37"/>
        <v>61.790556662354462</v>
      </c>
      <c r="J108" s="24">
        <f t="shared" si="38"/>
        <v>115.95948960516625</v>
      </c>
      <c r="K108" s="21">
        <v>14329230.09</v>
      </c>
      <c r="L108" s="21">
        <v>14452685.08</v>
      </c>
      <c r="M108" s="25">
        <f t="shared" si="39"/>
        <v>-8.5420106586865611E-3</v>
      </c>
      <c r="N108" s="10"/>
      <c r="R108" s="2"/>
    </row>
    <row r="109" spans="1:18" ht="15.75" customHeight="1" x14ac:dyDescent="0.25">
      <c r="A109" s="19"/>
      <c r="B109" s="20">
        <f>DATE(2023,4,1)</f>
        <v>45017</v>
      </c>
      <c r="C109" s="21">
        <v>215525</v>
      </c>
      <c r="D109" s="21">
        <v>214208</v>
      </c>
      <c r="E109" s="23">
        <f t="shared" si="35"/>
        <v>6.1482297579922322E-3</v>
      </c>
      <c r="F109" s="21">
        <f>+C109-99325</f>
        <v>116200</v>
      </c>
      <c r="G109" s="21">
        <f>+D109-101580</f>
        <v>112628</v>
      </c>
      <c r="H109" s="23">
        <f t="shared" si="36"/>
        <v>3.171502645878467E-2</v>
      </c>
      <c r="I109" s="24">
        <f t="shared" si="37"/>
        <v>63.722001299153234</v>
      </c>
      <c r="J109" s="24">
        <f t="shared" si="38"/>
        <v>118.19005447504303</v>
      </c>
      <c r="K109" s="21">
        <v>13733684.33</v>
      </c>
      <c r="L109" s="21">
        <v>12729189.960000001</v>
      </c>
      <c r="M109" s="25">
        <f t="shared" si="39"/>
        <v>7.8912670260755463E-2</v>
      </c>
      <c r="N109" s="10"/>
      <c r="R109" s="2"/>
    </row>
    <row r="110" spans="1:18" ht="15.75" customHeight="1" thickBot="1" x14ac:dyDescent="0.3">
      <c r="A110" s="19"/>
      <c r="B110" s="45"/>
      <c r="C110" s="21"/>
      <c r="D110" s="21"/>
      <c r="E110" s="23"/>
      <c r="F110" s="21"/>
      <c r="G110" s="21"/>
      <c r="H110" s="23"/>
      <c r="I110" s="24"/>
      <c r="J110" s="24"/>
      <c r="K110" s="21"/>
      <c r="L110" s="21"/>
      <c r="M110" s="25"/>
      <c r="N110" s="10"/>
      <c r="R110" s="2"/>
    </row>
    <row r="111" spans="1:18" ht="17.25" thickTop="1" thickBot="1" x14ac:dyDescent="0.3">
      <c r="A111" s="39" t="s">
        <v>14</v>
      </c>
      <c r="B111" s="40"/>
      <c r="C111" s="41">
        <f>SUM(C100:C110)</f>
        <v>2166060</v>
      </c>
      <c r="D111" s="41">
        <f>SUM(D100:D110)</f>
        <v>2110558</v>
      </c>
      <c r="E111" s="280">
        <f>(+C111-D111)/D111</f>
        <v>2.6297310948099981E-2</v>
      </c>
      <c r="F111" s="41">
        <f>SUM(F100:F110)</f>
        <v>1148701</v>
      </c>
      <c r="G111" s="41">
        <f>SUM(G100:G110)</f>
        <v>1132335</v>
      </c>
      <c r="H111" s="42">
        <f>(+F111-G111)/G111</f>
        <v>1.4453319909744024E-2</v>
      </c>
      <c r="I111" s="43">
        <f>K111/C111</f>
        <v>60.519400155120351</v>
      </c>
      <c r="J111" s="43">
        <f>K111/F111</f>
        <v>114.11903698177332</v>
      </c>
      <c r="K111" s="41">
        <f>SUM(K100:K110)</f>
        <v>131088651.89999999</v>
      </c>
      <c r="L111" s="41">
        <f>SUM(L100:L110)</f>
        <v>126522248.13999999</v>
      </c>
      <c r="M111" s="44">
        <f>(+K111-L111)/L111</f>
        <v>3.6091705823525735E-2</v>
      </c>
      <c r="N111" s="10"/>
      <c r="R111" s="2"/>
    </row>
    <row r="112" spans="1:18" ht="15.75" customHeight="1" thickTop="1" x14ac:dyDescent="0.2">
      <c r="A112" s="54"/>
      <c r="B112" s="55"/>
      <c r="C112" s="55"/>
      <c r="D112" s="55"/>
      <c r="E112" s="56"/>
      <c r="F112" s="55"/>
      <c r="G112" s="55"/>
      <c r="H112" s="56"/>
      <c r="I112" s="55"/>
      <c r="J112" s="55"/>
      <c r="K112" s="196"/>
      <c r="L112" s="196"/>
      <c r="M112" s="57"/>
      <c r="N112" s="10"/>
      <c r="R112" s="2"/>
    </row>
    <row r="113" spans="1:18" ht="15.75" customHeight="1" x14ac:dyDescent="0.25">
      <c r="A113" s="19" t="s">
        <v>16</v>
      </c>
      <c r="B113" s="20">
        <f>DATE(2022,7,1)</f>
        <v>44743</v>
      </c>
      <c r="C113" s="21">
        <v>271337</v>
      </c>
      <c r="D113" s="21">
        <v>292626</v>
      </c>
      <c r="E113" s="23">
        <f t="shared" ref="E113:E122" si="40">(+C113-D113)/D113</f>
        <v>-7.27515668464183E-2</v>
      </c>
      <c r="F113" s="21">
        <f>+C113-134570</f>
        <v>136767</v>
      </c>
      <c r="G113" s="21">
        <f>+D113-144119</f>
        <v>148507</v>
      </c>
      <c r="H113" s="23">
        <f t="shared" ref="H113:H122" si="41">(+F113-G113)/G113</f>
        <v>-7.9053512629034317E-2</v>
      </c>
      <c r="I113" s="24">
        <f t="shared" ref="I113:I122" si="42">K113/C113</f>
        <v>67.090164555515841</v>
      </c>
      <c r="J113" s="24">
        <f t="shared" ref="J113:J122" si="43">K113/F113</f>
        <v>133.1026050143675</v>
      </c>
      <c r="K113" s="21">
        <v>18204043.98</v>
      </c>
      <c r="L113" s="21">
        <v>18108904.359999999</v>
      </c>
      <c r="M113" s="25">
        <f t="shared" ref="M113:M122" si="44">(+K113-L113)/L113</f>
        <v>5.2537479964912164E-3</v>
      </c>
      <c r="N113" s="10"/>
      <c r="R113" s="2"/>
    </row>
    <row r="114" spans="1:18" ht="15.75" customHeight="1" x14ac:dyDescent="0.25">
      <c r="A114" s="19"/>
      <c r="B114" s="20">
        <f>DATE(2022,8,1)</f>
        <v>44774</v>
      </c>
      <c r="C114" s="21">
        <v>244622</v>
      </c>
      <c r="D114" s="21">
        <v>252812</v>
      </c>
      <c r="E114" s="23">
        <f t="shared" si="40"/>
        <v>-3.2395614132240555E-2</v>
      </c>
      <c r="F114" s="21">
        <f>+C114-120033</f>
        <v>124589</v>
      </c>
      <c r="G114" s="21">
        <f>+D114-122587</f>
        <v>130225</v>
      </c>
      <c r="H114" s="23">
        <f t="shared" si="41"/>
        <v>-4.3278940295642158E-2</v>
      </c>
      <c r="I114" s="24">
        <f t="shared" si="42"/>
        <v>67.205746743955984</v>
      </c>
      <c r="J114" s="24">
        <f t="shared" si="43"/>
        <v>131.95389785615103</v>
      </c>
      <c r="K114" s="21">
        <v>16440004.18</v>
      </c>
      <c r="L114" s="21">
        <v>16282457.699999999</v>
      </c>
      <c r="M114" s="25">
        <f t="shared" si="44"/>
        <v>9.6758415039518552E-3</v>
      </c>
      <c r="N114" s="10"/>
      <c r="R114" s="2"/>
    </row>
    <row r="115" spans="1:18" ht="15.75" customHeight="1" x14ac:dyDescent="0.25">
      <c r="A115" s="19"/>
      <c r="B115" s="20">
        <f>DATE(2022,9,1)</f>
        <v>44805</v>
      </c>
      <c r="C115" s="21">
        <v>238237</v>
      </c>
      <c r="D115" s="21">
        <v>243584</v>
      </c>
      <c r="E115" s="23">
        <f t="shared" si="40"/>
        <v>-2.1951359695218078E-2</v>
      </c>
      <c r="F115" s="21">
        <f>+C115-117564</f>
        <v>120673</v>
      </c>
      <c r="G115" s="21">
        <f>+D115-118454</f>
        <v>125130</v>
      </c>
      <c r="H115" s="23">
        <f t="shared" si="41"/>
        <v>-3.5618956285463119E-2</v>
      </c>
      <c r="I115" s="24">
        <f t="shared" si="42"/>
        <v>71.1967485738991</v>
      </c>
      <c r="J115" s="24">
        <f t="shared" si="43"/>
        <v>140.55919542896919</v>
      </c>
      <c r="K115" s="21">
        <v>16961699.789999999</v>
      </c>
      <c r="L115" s="21">
        <v>14471118.949999999</v>
      </c>
      <c r="M115" s="25">
        <f t="shared" si="44"/>
        <v>0.17210699798718743</v>
      </c>
      <c r="N115" s="10"/>
      <c r="R115" s="2"/>
    </row>
    <row r="116" spans="1:18" ht="15.75" customHeight="1" x14ac:dyDescent="0.25">
      <c r="A116" s="19"/>
      <c r="B116" s="20">
        <f>DATE(2022,10,1)</f>
        <v>44835</v>
      </c>
      <c r="C116" s="21">
        <v>243168</v>
      </c>
      <c r="D116" s="21">
        <v>265943</v>
      </c>
      <c r="E116" s="23">
        <f t="shared" si="40"/>
        <v>-8.5638651891570744E-2</v>
      </c>
      <c r="F116" s="21">
        <f>+C116-122237</f>
        <v>120931</v>
      </c>
      <c r="G116" s="21">
        <f>+D116-130327</f>
        <v>135616</v>
      </c>
      <c r="H116" s="23">
        <f t="shared" si="41"/>
        <v>-0.10828368334119867</v>
      </c>
      <c r="I116" s="24">
        <f t="shared" si="42"/>
        <v>66.924056454796684</v>
      </c>
      <c r="J116" s="24">
        <f t="shared" si="43"/>
        <v>134.57086239260406</v>
      </c>
      <c r="K116" s="21">
        <v>16273788.960000001</v>
      </c>
      <c r="L116" s="21">
        <v>16493487.77</v>
      </c>
      <c r="M116" s="25">
        <f t="shared" si="44"/>
        <v>-1.3320336672490142E-2</v>
      </c>
      <c r="N116" s="10"/>
      <c r="R116" s="2"/>
    </row>
    <row r="117" spans="1:18" ht="15.75" customHeight="1" x14ac:dyDescent="0.25">
      <c r="A117" s="19"/>
      <c r="B117" s="20">
        <f>DATE(2022,11,1)</f>
        <v>44866</v>
      </c>
      <c r="C117" s="21">
        <v>218400</v>
      </c>
      <c r="D117" s="21">
        <v>251827</v>
      </c>
      <c r="E117" s="23">
        <f t="shared" si="40"/>
        <v>-0.13273795105369957</v>
      </c>
      <c r="F117" s="21">
        <f>+C117-108404</f>
        <v>109996</v>
      </c>
      <c r="G117" s="21">
        <f>+D117-125798</f>
        <v>126029</v>
      </c>
      <c r="H117" s="23">
        <f t="shared" si="41"/>
        <v>-0.12721675170000554</v>
      </c>
      <c r="I117" s="24">
        <f t="shared" si="42"/>
        <v>69.589732142857144</v>
      </c>
      <c r="J117" s="24">
        <f t="shared" si="43"/>
        <v>138.17227444634349</v>
      </c>
      <c r="K117" s="21">
        <v>15198397.5</v>
      </c>
      <c r="L117" s="21">
        <v>16061512.83</v>
      </c>
      <c r="M117" s="25">
        <f t="shared" si="44"/>
        <v>-5.3738109176606132E-2</v>
      </c>
      <c r="N117" s="10"/>
      <c r="R117" s="2"/>
    </row>
    <row r="118" spans="1:18" ht="15.75" customHeight="1" x14ac:dyDescent="0.25">
      <c r="A118" s="19"/>
      <c r="B118" s="20">
        <f>DATE(2022,12,1)</f>
        <v>44896</v>
      </c>
      <c r="C118" s="21">
        <v>250765</v>
      </c>
      <c r="D118" s="21">
        <v>268015</v>
      </c>
      <c r="E118" s="23">
        <f t="shared" si="40"/>
        <v>-6.4362069287166757E-2</v>
      </c>
      <c r="F118" s="21">
        <f>+C118-124228</f>
        <v>126537</v>
      </c>
      <c r="G118" s="21">
        <f>+D118-132764</f>
        <v>135251</v>
      </c>
      <c r="H118" s="23">
        <f t="shared" si="41"/>
        <v>-6.4428359124886328E-2</v>
      </c>
      <c r="I118" s="24">
        <f t="shared" si="42"/>
        <v>66.219051821426433</v>
      </c>
      <c r="J118" s="24">
        <f t="shared" si="43"/>
        <v>131.22976307325129</v>
      </c>
      <c r="K118" s="21">
        <v>16605420.529999999</v>
      </c>
      <c r="L118" s="21">
        <v>16759114.939999999</v>
      </c>
      <c r="M118" s="25">
        <f t="shared" si="44"/>
        <v>-9.1707951494006609E-3</v>
      </c>
      <c r="N118" s="10"/>
      <c r="R118" s="2"/>
    </row>
    <row r="119" spans="1:18" ht="15.75" customHeight="1" x14ac:dyDescent="0.25">
      <c r="A119" s="19"/>
      <c r="B119" s="20">
        <f>DATE(2023,1,1)</f>
        <v>44927</v>
      </c>
      <c r="C119" s="21">
        <v>242722</v>
      </c>
      <c r="D119" s="21">
        <v>234359</v>
      </c>
      <c r="E119" s="23">
        <f t="shared" si="40"/>
        <v>3.56845693999377E-2</v>
      </c>
      <c r="F119" s="21">
        <f>+C119-123375</f>
        <v>119347</v>
      </c>
      <c r="G119" s="21">
        <f>+D119-117571</f>
        <v>116788</v>
      </c>
      <c r="H119" s="23">
        <f t="shared" si="41"/>
        <v>2.1911497756618832E-2</v>
      </c>
      <c r="I119" s="24">
        <f t="shared" si="42"/>
        <v>64.472327271528741</v>
      </c>
      <c r="J119" s="24">
        <f t="shared" si="43"/>
        <v>131.12061652157155</v>
      </c>
      <c r="K119" s="21">
        <v>15648852.220000001</v>
      </c>
      <c r="L119" s="21">
        <v>14903439.41</v>
      </c>
      <c r="M119" s="25">
        <f t="shared" si="44"/>
        <v>5.0016159994574066E-2</v>
      </c>
      <c r="N119" s="10"/>
      <c r="R119" s="2"/>
    </row>
    <row r="120" spans="1:18" ht="15.75" customHeight="1" x14ac:dyDescent="0.25">
      <c r="A120" s="19"/>
      <c r="B120" s="20">
        <f>DATE(2023,2,1)</f>
        <v>44958</v>
      </c>
      <c r="C120" s="21">
        <v>238918</v>
      </c>
      <c r="D120" s="21">
        <v>253600</v>
      </c>
      <c r="E120" s="23">
        <f t="shared" si="40"/>
        <v>-5.7894321766561514E-2</v>
      </c>
      <c r="F120" s="21">
        <f>+C120-118809</f>
        <v>120109</v>
      </c>
      <c r="G120" s="21">
        <f>+D120-127165</f>
        <v>126435</v>
      </c>
      <c r="H120" s="23">
        <f t="shared" si="41"/>
        <v>-5.0033614110017006E-2</v>
      </c>
      <c r="I120" s="24">
        <f t="shared" si="42"/>
        <v>66.361105358323783</v>
      </c>
      <c r="J120" s="24">
        <f t="shared" si="43"/>
        <v>132.00395116102874</v>
      </c>
      <c r="K120" s="21">
        <v>15854862.57</v>
      </c>
      <c r="L120" s="21">
        <v>15991789.529999999</v>
      </c>
      <c r="M120" s="25">
        <f t="shared" si="44"/>
        <v>-8.5623287964820428E-3</v>
      </c>
      <c r="N120" s="10"/>
      <c r="R120" s="2"/>
    </row>
    <row r="121" spans="1:18" ht="15.75" customHeight="1" x14ac:dyDescent="0.25">
      <c r="A121" s="19"/>
      <c r="B121" s="20">
        <f>DATE(2023,3,1)</f>
        <v>44986</v>
      </c>
      <c r="C121" s="21">
        <v>275849</v>
      </c>
      <c r="D121" s="21">
        <v>280533</v>
      </c>
      <c r="E121" s="23">
        <f t="shared" si="40"/>
        <v>-1.6696787900175737E-2</v>
      </c>
      <c r="F121" s="21">
        <f>+C121-138730</f>
        <v>137119</v>
      </c>
      <c r="G121" s="21">
        <f>+D121-140714</f>
        <v>139819</v>
      </c>
      <c r="H121" s="23">
        <f t="shared" si="41"/>
        <v>-1.9310680236591594E-2</v>
      </c>
      <c r="I121" s="24">
        <f t="shared" si="42"/>
        <v>66.306328353555756</v>
      </c>
      <c r="J121" s="24">
        <f t="shared" si="43"/>
        <v>133.39168437634464</v>
      </c>
      <c r="K121" s="21">
        <v>18290534.370000001</v>
      </c>
      <c r="L121" s="21">
        <v>18450271.82</v>
      </c>
      <c r="M121" s="25">
        <f t="shared" si="44"/>
        <v>-8.6577288160516238E-3</v>
      </c>
      <c r="N121" s="10"/>
      <c r="R121" s="2"/>
    </row>
    <row r="122" spans="1:18" ht="15.75" customHeight="1" x14ac:dyDescent="0.25">
      <c r="A122" s="19"/>
      <c r="B122" s="20">
        <f>DATE(2023,4,1)</f>
        <v>45017</v>
      </c>
      <c r="C122" s="21">
        <v>256341</v>
      </c>
      <c r="D122" s="21">
        <v>270998</v>
      </c>
      <c r="E122" s="23">
        <f t="shared" si="40"/>
        <v>-5.4085270001992633E-2</v>
      </c>
      <c r="F122" s="21">
        <f>+C122-130653</f>
        <v>125688</v>
      </c>
      <c r="G122" s="21">
        <f>+D122-136091</f>
        <v>134907</v>
      </c>
      <c r="H122" s="23">
        <f t="shared" si="41"/>
        <v>-6.8335964775734392E-2</v>
      </c>
      <c r="I122" s="24">
        <f t="shared" si="42"/>
        <v>69.74534853964056</v>
      </c>
      <c r="J122" s="24">
        <f t="shared" si="43"/>
        <v>142.24581813697409</v>
      </c>
      <c r="K122" s="21">
        <v>17878592.390000001</v>
      </c>
      <c r="L122" s="21">
        <v>17783758.210000001</v>
      </c>
      <c r="M122" s="25">
        <f t="shared" si="44"/>
        <v>5.3326287323605991E-3</v>
      </c>
      <c r="N122" s="10"/>
      <c r="R122" s="2"/>
    </row>
    <row r="123" spans="1:18" ht="15.75" customHeight="1" thickBot="1" x14ac:dyDescent="0.3">
      <c r="A123" s="19"/>
      <c r="B123" s="45"/>
      <c r="C123" s="21"/>
      <c r="D123" s="21"/>
      <c r="E123" s="23"/>
      <c r="F123" s="21"/>
      <c r="G123" s="21"/>
      <c r="H123" s="23"/>
      <c r="I123" s="24"/>
      <c r="J123" s="24"/>
      <c r="K123" s="21"/>
      <c r="L123" s="21"/>
      <c r="M123" s="25"/>
      <c r="N123" s="10"/>
      <c r="R123" s="2"/>
    </row>
    <row r="124" spans="1:18" ht="17.25" thickTop="1" thickBot="1" x14ac:dyDescent="0.3">
      <c r="A124" s="39" t="s">
        <v>14</v>
      </c>
      <c r="B124" s="40"/>
      <c r="C124" s="41">
        <f>SUM(C113:C123)</f>
        <v>2480359</v>
      </c>
      <c r="D124" s="41">
        <f>SUM(D113:D123)</f>
        <v>2614297</v>
      </c>
      <c r="E124" s="280">
        <f>(+C124-D124)/D124</f>
        <v>-5.1232893584776326E-2</v>
      </c>
      <c r="F124" s="41">
        <f>SUM(F113:F123)</f>
        <v>1241756</v>
      </c>
      <c r="G124" s="41">
        <f>SUM(G113:G123)</f>
        <v>1318707</v>
      </c>
      <c r="H124" s="42">
        <f>(+F124-G124)/G124</f>
        <v>-5.8353371901415554E-2</v>
      </c>
      <c r="I124" s="43">
        <f>K124/C124</f>
        <v>67.472570095699865</v>
      </c>
      <c r="J124" s="43">
        <f>K124/F124</f>
        <v>134.77381747299793</v>
      </c>
      <c r="K124" s="41">
        <f>SUM(K113:K123)</f>
        <v>167356196.49000001</v>
      </c>
      <c r="L124" s="41">
        <f>SUM(L113:L123)</f>
        <v>165305855.52000001</v>
      </c>
      <c r="M124" s="44">
        <f>(+K124-L124)/L124</f>
        <v>1.2403317254251362E-2</v>
      </c>
      <c r="N124" s="10"/>
      <c r="R124" s="2"/>
    </row>
    <row r="125" spans="1:18" ht="15.75" customHeight="1" thickTop="1" x14ac:dyDescent="0.2">
      <c r="A125" s="54"/>
      <c r="B125" s="55"/>
      <c r="C125" s="55"/>
      <c r="D125" s="55"/>
      <c r="E125" s="56"/>
      <c r="F125" s="55"/>
      <c r="G125" s="55"/>
      <c r="H125" s="56"/>
      <c r="I125" s="55"/>
      <c r="J125" s="55"/>
      <c r="K125" s="196"/>
      <c r="L125" s="196"/>
      <c r="M125" s="57"/>
      <c r="N125" s="10"/>
      <c r="R125" s="2"/>
    </row>
    <row r="126" spans="1:18" ht="15.75" customHeight="1" x14ac:dyDescent="0.25">
      <c r="A126" s="19" t="s">
        <v>53</v>
      </c>
      <c r="B126" s="20">
        <f>DATE(2022,7,1)</f>
        <v>44743</v>
      </c>
      <c r="C126" s="21">
        <v>358906</v>
      </c>
      <c r="D126" s="21">
        <v>338901</v>
      </c>
      <c r="E126" s="23">
        <f t="shared" ref="E126:E135" si="45">(+C126-D126)/D126</f>
        <v>5.9029037978642729E-2</v>
      </c>
      <c r="F126" s="21">
        <f>+C126-172463</f>
        <v>186443</v>
      </c>
      <c r="G126" s="21">
        <f>+D126-160819</f>
        <v>178082</v>
      </c>
      <c r="H126" s="23">
        <f t="shared" ref="H126:H135" si="46">(+F126-G126)/G126</f>
        <v>4.6950281331072201E-2</v>
      </c>
      <c r="I126" s="24">
        <f t="shared" ref="I126:I135" si="47">K126/C126</f>
        <v>62.40353460237499</v>
      </c>
      <c r="J126" s="24">
        <f t="shared" ref="J126:J135" si="48">K126/F126</f>
        <v>120.12788353545051</v>
      </c>
      <c r="K126" s="21">
        <v>22397002.989999998</v>
      </c>
      <c r="L126" s="21">
        <v>20138878.379999999</v>
      </c>
      <c r="M126" s="25">
        <f t="shared" ref="M126:M135" si="49">(+K126-L126)/L126</f>
        <v>0.11212762535189408</v>
      </c>
      <c r="N126" s="10"/>
      <c r="R126" s="2"/>
    </row>
    <row r="127" spans="1:18" ht="15.75" customHeight="1" x14ac:dyDescent="0.25">
      <c r="A127" s="19"/>
      <c r="B127" s="20">
        <f>DATE(2022,8,1)</f>
        <v>44774</v>
      </c>
      <c r="C127" s="21">
        <v>332390</v>
      </c>
      <c r="D127" s="21">
        <v>315503</v>
      </c>
      <c r="E127" s="23">
        <f t="shared" si="45"/>
        <v>5.3524055238777443E-2</v>
      </c>
      <c r="F127" s="21">
        <f>+C127-159690</f>
        <v>172700</v>
      </c>
      <c r="G127" s="21">
        <f>+D127-149989</f>
        <v>165514</v>
      </c>
      <c r="H127" s="23">
        <f t="shared" si="46"/>
        <v>4.3416266901893492E-2</v>
      </c>
      <c r="I127" s="24">
        <f t="shared" si="47"/>
        <v>62.335644122867713</v>
      </c>
      <c r="J127" s="24">
        <f t="shared" si="48"/>
        <v>119.97536045165026</v>
      </c>
      <c r="K127" s="21">
        <v>20719744.75</v>
      </c>
      <c r="L127" s="21">
        <v>19194870.57</v>
      </c>
      <c r="M127" s="25">
        <f t="shared" si="49"/>
        <v>7.9441753693471229E-2</v>
      </c>
      <c r="N127" s="10"/>
      <c r="R127" s="2"/>
    </row>
    <row r="128" spans="1:18" ht="15.75" customHeight="1" x14ac:dyDescent="0.25">
      <c r="A128" s="19"/>
      <c r="B128" s="20">
        <f>DATE(2022,9,1)</f>
        <v>44805</v>
      </c>
      <c r="C128" s="21">
        <v>333101</v>
      </c>
      <c r="D128" s="21">
        <v>329297</v>
      </c>
      <c r="E128" s="23">
        <f t="shared" si="45"/>
        <v>1.1551881735940503E-2</v>
      </c>
      <c r="F128" s="21">
        <f>+C128-160339</f>
        <v>172762</v>
      </c>
      <c r="G128" s="21">
        <f>+D128-155913</f>
        <v>173384</v>
      </c>
      <c r="H128" s="23">
        <f t="shared" si="46"/>
        <v>-3.5874129100724405E-3</v>
      </c>
      <c r="I128" s="24">
        <f t="shared" si="47"/>
        <v>60.98825344264953</v>
      </c>
      <c r="J128" s="24">
        <f t="shared" si="48"/>
        <v>117.59095292946365</v>
      </c>
      <c r="K128" s="21">
        <v>20315248.210000001</v>
      </c>
      <c r="L128" s="21">
        <v>19476285.940000001</v>
      </c>
      <c r="M128" s="25">
        <f t="shared" si="49"/>
        <v>4.3076091231385949E-2</v>
      </c>
      <c r="N128" s="10"/>
      <c r="R128" s="2"/>
    </row>
    <row r="129" spans="1:18" ht="15.75" customHeight="1" x14ac:dyDescent="0.25">
      <c r="A129" s="19"/>
      <c r="B129" s="20">
        <f>DATE(2022,10,1)</f>
        <v>44835</v>
      </c>
      <c r="C129" s="21">
        <v>337264</v>
      </c>
      <c r="D129" s="21">
        <v>343168</v>
      </c>
      <c r="E129" s="23">
        <f t="shared" si="45"/>
        <v>-1.7204401342782543E-2</v>
      </c>
      <c r="F129" s="21">
        <f>+C129-160233</f>
        <v>177031</v>
      </c>
      <c r="G129" s="21">
        <f>+D129-164416</f>
        <v>178752</v>
      </c>
      <c r="H129" s="23">
        <f t="shared" si="46"/>
        <v>-9.6278643036161841E-3</v>
      </c>
      <c r="I129" s="24">
        <f t="shared" si="47"/>
        <v>62.278013040229609</v>
      </c>
      <c r="J129" s="24">
        <f t="shared" si="48"/>
        <v>118.64663132445729</v>
      </c>
      <c r="K129" s="21">
        <v>21004131.789999999</v>
      </c>
      <c r="L129" s="21">
        <v>21027601.489999998</v>
      </c>
      <c r="M129" s="25">
        <f t="shared" si="49"/>
        <v>-1.1161377588005286E-3</v>
      </c>
      <c r="N129" s="10"/>
      <c r="R129" s="2"/>
    </row>
    <row r="130" spans="1:18" ht="15.75" customHeight="1" x14ac:dyDescent="0.25">
      <c r="A130" s="19"/>
      <c r="B130" s="20">
        <f>DATE(2022,11,1)</f>
        <v>44866</v>
      </c>
      <c r="C130" s="21">
        <v>335976</v>
      </c>
      <c r="D130" s="21">
        <v>319143</v>
      </c>
      <c r="E130" s="23">
        <f t="shared" si="45"/>
        <v>5.2744381045487447E-2</v>
      </c>
      <c r="F130" s="21">
        <f>+C130-165580</f>
        <v>170396</v>
      </c>
      <c r="G130" s="21">
        <f>+D130-158694</f>
        <v>160449</v>
      </c>
      <c r="H130" s="23">
        <f t="shared" si="46"/>
        <v>6.1994777156604279E-2</v>
      </c>
      <c r="I130" s="24">
        <f t="shared" si="47"/>
        <v>62.161757595780657</v>
      </c>
      <c r="J130" s="24">
        <f t="shared" si="48"/>
        <v>122.56660173947746</v>
      </c>
      <c r="K130" s="21">
        <v>20884858.670000002</v>
      </c>
      <c r="L130" s="21">
        <v>19834333.84</v>
      </c>
      <c r="M130" s="25">
        <f t="shared" si="49"/>
        <v>5.2964966631821195E-2</v>
      </c>
      <c r="N130" s="10"/>
      <c r="R130" s="2"/>
    </row>
    <row r="131" spans="1:18" ht="15.75" customHeight="1" x14ac:dyDescent="0.25">
      <c r="A131" s="19"/>
      <c r="B131" s="20">
        <f>DATE(2022,12,1)</f>
        <v>44896</v>
      </c>
      <c r="C131" s="21">
        <v>365576</v>
      </c>
      <c r="D131" s="21">
        <v>337706</v>
      </c>
      <c r="E131" s="23">
        <f t="shared" si="45"/>
        <v>8.2527405494720263E-2</v>
      </c>
      <c r="F131" s="21">
        <f>+C131-180532</f>
        <v>185044</v>
      </c>
      <c r="G131" s="21">
        <f>+D131-167775</f>
        <v>169931</v>
      </c>
      <c r="H131" s="23">
        <f t="shared" si="46"/>
        <v>8.8936097592552277E-2</v>
      </c>
      <c r="I131" s="24">
        <f t="shared" si="47"/>
        <v>56.937219976147226</v>
      </c>
      <c r="J131" s="24">
        <f t="shared" si="48"/>
        <v>112.48611751799571</v>
      </c>
      <c r="K131" s="21">
        <v>20814881.129999999</v>
      </c>
      <c r="L131" s="21">
        <v>21876573.800000001</v>
      </c>
      <c r="M131" s="25">
        <f t="shared" si="49"/>
        <v>-4.8531030485221671E-2</v>
      </c>
      <c r="N131" s="10"/>
      <c r="R131" s="2"/>
    </row>
    <row r="132" spans="1:18" ht="15.75" customHeight="1" x14ac:dyDescent="0.25">
      <c r="A132" s="19"/>
      <c r="B132" s="20">
        <f>DATE(2023,1,1)</f>
        <v>44927</v>
      </c>
      <c r="C132" s="21">
        <v>342355</v>
      </c>
      <c r="D132" s="21">
        <v>310561</v>
      </c>
      <c r="E132" s="23">
        <f t="shared" si="45"/>
        <v>0.10237602274593396</v>
      </c>
      <c r="F132" s="21">
        <f>+C132-168925</f>
        <v>173430</v>
      </c>
      <c r="G132" s="21">
        <f>+D132-154923</f>
        <v>155638</v>
      </c>
      <c r="H132" s="23">
        <f t="shared" si="46"/>
        <v>0.1143165550829489</v>
      </c>
      <c r="I132" s="24">
        <f t="shared" si="47"/>
        <v>60.375485095880002</v>
      </c>
      <c r="J132" s="24">
        <f t="shared" si="48"/>
        <v>119.18266274577638</v>
      </c>
      <c r="K132" s="21">
        <v>20669849.199999999</v>
      </c>
      <c r="L132" s="21">
        <v>18760398.27</v>
      </c>
      <c r="M132" s="25">
        <f t="shared" si="49"/>
        <v>0.10178093783080436</v>
      </c>
      <c r="N132" s="10"/>
      <c r="R132" s="2"/>
    </row>
    <row r="133" spans="1:18" ht="15.75" customHeight="1" x14ac:dyDescent="0.25">
      <c r="A133" s="19"/>
      <c r="B133" s="20">
        <f>DATE(2023,2,1)</f>
        <v>44958</v>
      </c>
      <c r="C133" s="21">
        <v>337128</v>
      </c>
      <c r="D133" s="21">
        <v>302200</v>
      </c>
      <c r="E133" s="23">
        <f t="shared" si="45"/>
        <v>0.11557908669755129</v>
      </c>
      <c r="F133" s="21">
        <f>+C133-165968</f>
        <v>171160</v>
      </c>
      <c r="G133" s="21">
        <f>+D133-150400</f>
        <v>151800</v>
      </c>
      <c r="H133" s="23">
        <f t="shared" si="46"/>
        <v>0.12753623188405797</v>
      </c>
      <c r="I133" s="24">
        <f t="shared" si="47"/>
        <v>61.979284218457082</v>
      </c>
      <c r="J133" s="24">
        <f t="shared" si="48"/>
        <v>122.0784770390278</v>
      </c>
      <c r="K133" s="21">
        <v>20894952.129999999</v>
      </c>
      <c r="L133" s="21">
        <v>19485353.879999999</v>
      </c>
      <c r="M133" s="25">
        <f t="shared" si="49"/>
        <v>7.2341424163039125E-2</v>
      </c>
      <c r="N133" s="10"/>
      <c r="R133" s="2"/>
    </row>
    <row r="134" spans="1:18" ht="15.75" customHeight="1" x14ac:dyDescent="0.25">
      <c r="A134" s="19"/>
      <c r="B134" s="20">
        <f>DATE(2023,3,1)</f>
        <v>44986</v>
      </c>
      <c r="C134" s="21">
        <v>378898</v>
      </c>
      <c r="D134" s="21">
        <v>362122</v>
      </c>
      <c r="E134" s="23">
        <f t="shared" si="45"/>
        <v>4.6326928493712061E-2</v>
      </c>
      <c r="F134" s="21">
        <f>+C134-184365</f>
        <v>194533</v>
      </c>
      <c r="G134" s="21">
        <f>+D134-178958</f>
        <v>183164</v>
      </c>
      <c r="H134" s="23">
        <f t="shared" si="46"/>
        <v>6.2070057434867112E-2</v>
      </c>
      <c r="I134" s="24">
        <f t="shared" si="47"/>
        <v>62.61313672809041</v>
      </c>
      <c r="J134" s="24">
        <f t="shared" si="48"/>
        <v>121.95356201775535</v>
      </c>
      <c r="K134" s="21">
        <v>23723992.280000001</v>
      </c>
      <c r="L134" s="21">
        <v>23536451.559999999</v>
      </c>
      <c r="M134" s="25">
        <f t="shared" si="49"/>
        <v>7.9680966148153957E-3</v>
      </c>
      <c r="N134" s="10"/>
      <c r="R134" s="2"/>
    </row>
    <row r="135" spans="1:18" ht="15.75" customHeight="1" x14ac:dyDescent="0.25">
      <c r="A135" s="19"/>
      <c r="B135" s="20">
        <f>DATE(2023,4,1)</f>
        <v>45017</v>
      </c>
      <c r="C135" s="21">
        <v>354655</v>
      </c>
      <c r="D135" s="21">
        <v>362549</v>
      </c>
      <c r="E135" s="23">
        <f t="shared" si="45"/>
        <v>-2.1773608532915552E-2</v>
      </c>
      <c r="F135" s="21">
        <f>+C135-170194</f>
        <v>184461</v>
      </c>
      <c r="G135" s="21">
        <f>+D135-177339</f>
        <v>185210</v>
      </c>
      <c r="H135" s="23">
        <f t="shared" si="46"/>
        <v>-4.0440580962151067E-3</v>
      </c>
      <c r="I135" s="24">
        <f t="shared" si="47"/>
        <v>62.340078414233552</v>
      </c>
      <c r="J135" s="24">
        <f t="shared" si="48"/>
        <v>119.85850944102006</v>
      </c>
      <c r="K135" s="21">
        <v>22109220.510000002</v>
      </c>
      <c r="L135" s="21">
        <v>23358781.210000001</v>
      </c>
      <c r="M135" s="25">
        <f t="shared" si="49"/>
        <v>-5.3494259343679136E-2</v>
      </c>
      <c r="N135" s="10"/>
      <c r="R135" s="2"/>
    </row>
    <row r="136" spans="1:18" ht="15.75" customHeight="1" thickBot="1" x14ac:dyDescent="0.3">
      <c r="A136" s="19"/>
      <c r="B136" s="45"/>
      <c r="C136" s="21"/>
      <c r="D136" s="21"/>
      <c r="E136" s="23"/>
      <c r="F136" s="21"/>
      <c r="G136" s="21"/>
      <c r="H136" s="23"/>
      <c r="I136" s="24"/>
      <c r="J136" s="24"/>
      <c r="K136" s="21"/>
      <c r="L136" s="21"/>
      <c r="M136" s="25"/>
      <c r="N136" s="10"/>
      <c r="R136" s="2"/>
    </row>
    <row r="137" spans="1:18" ht="17.25" thickTop="1" thickBot="1" x14ac:dyDescent="0.3">
      <c r="A137" s="39" t="s">
        <v>14</v>
      </c>
      <c r="B137" s="40"/>
      <c r="C137" s="41">
        <f>SUM(C126:C136)</f>
        <v>3476249</v>
      </c>
      <c r="D137" s="41">
        <f>SUM(D126:D136)</f>
        <v>3321150</v>
      </c>
      <c r="E137" s="280">
        <f>(+C137-D137)/D137</f>
        <v>4.6700389925176521E-2</v>
      </c>
      <c r="F137" s="41">
        <f>SUM(F126:F136)</f>
        <v>1787960</v>
      </c>
      <c r="G137" s="41">
        <f>SUM(G126:G136)</f>
        <v>1701924</v>
      </c>
      <c r="H137" s="42">
        <f>(+F137-G137)/G137</f>
        <v>5.0552198570558968E-2</v>
      </c>
      <c r="I137" s="43">
        <f>K137/C137</f>
        <v>61.4265208447381</v>
      </c>
      <c r="J137" s="43">
        <f>K137/F137</f>
        <v>119.42878009575156</v>
      </c>
      <c r="K137" s="41">
        <f>SUM(K126:K136)</f>
        <v>213533881.65999997</v>
      </c>
      <c r="L137" s="41">
        <f>SUM(L126:L136)</f>
        <v>206689528.94</v>
      </c>
      <c r="M137" s="44">
        <f>(+K137-L137)/L137</f>
        <v>3.3114172522918754E-2</v>
      </c>
      <c r="N137" s="10"/>
      <c r="R137" s="2"/>
    </row>
    <row r="138" spans="1:18" ht="15.75" customHeight="1" thickTop="1" x14ac:dyDescent="0.2">
      <c r="A138" s="58"/>
      <c r="B138" s="59"/>
      <c r="C138" s="59"/>
      <c r="D138" s="59"/>
      <c r="E138" s="60"/>
      <c r="F138" s="59"/>
      <c r="G138" s="59"/>
      <c r="H138" s="60"/>
      <c r="I138" s="59"/>
      <c r="J138" s="59"/>
      <c r="K138" s="197"/>
      <c r="L138" s="197"/>
      <c r="M138" s="61"/>
      <c r="N138" s="10"/>
      <c r="R138" s="2"/>
    </row>
    <row r="139" spans="1:18" ht="15" customHeight="1" x14ac:dyDescent="0.25">
      <c r="A139" s="19" t="s">
        <v>54</v>
      </c>
      <c r="B139" s="20">
        <f>DATE(2022,7,1)</f>
        <v>44743</v>
      </c>
      <c r="C139" s="21">
        <v>45743</v>
      </c>
      <c r="D139" s="21">
        <v>54523</v>
      </c>
      <c r="E139" s="23">
        <f t="shared" ref="E139:E148" si="50">(+C139-D139)/D139</f>
        <v>-0.16103295856794381</v>
      </c>
      <c r="F139" s="21">
        <f>+C139-23748</f>
        <v>21995</v>
      </c>
      <c r="G139" s="21">
        <f>+D139-27936</f>
        <v>26587</v>
      </c>
      <c r="H139" s="23">
        <f t="shared" ref="H139:H148" si="51">(+F139-G139)/G139</f>
        <v>-0.17271598901718885</v>
      </c>
      <c r="I139" s="24">
        <f t="shared" ref="I139:I148" si="52">K139/C139</f>
        <v>71.132472290842315</v>
      </c>
      <c r="J139" s="24">
        <f t="shared" ref="J139:J148" si="53">K139/F139</f>
        <v>147.93419777222095</v>
      </c>
      <c r="K139" s="21">
        <v>3253812.68</v>
      </c>
      <c r="L139" s="21">
        <v>3636808.62</v>
      </c>
      <c r="M139" s="25">
        <f t="shared" ref="M139:M148" si="54">(+K139-L139)/L139</f>
        <v>-0.1053109965406978</v>
      </c>
      <c r="N139" s="10"/>
      <c r="R139" s="2"/>
    </row>
    <row r="140" spans="1:18" ht="15" customHeight="1" x14ac:dyDescent="0.25">
      <c r="A140" s="19"/>
      <c r="B140" s="20">
        <f>DATE(2022,8,1)</f>
        <v>44774</v>
      </c>
      <c r="C140" s="21">
        <v>40978</v>
      </c>
      <c r="D140" s="21">
        <v>47684</v>
      </c>
      <c r="E140" s="23">
        <f t="shared" si="50"/>
        <v>-0.14063417498532002</v>
      </c>
      <c r="F140" s="21">
        <f>+C140-21136</f>
        <v>19842</v>
      </c>
      <c r="G140" s="21">
        <f>+D140-24640</f>
        <v>23044</v>
      </c>
      <c r="H140" s="23">
        <f t="shared" si="51"/>
        <v>-0.1389515709078285</v>
      </c>
      <c r="I140" s="24">
        <f t="shared" si="52"/>
        <v>72.086047635316518</v>
      </c>
      <c r="J140" s="24">
        <f t="shared" si="53"/>
        <v>148.87320129019253</v>
      </c>
      <c r="K140" s="21">
        <v>2953942.06</v>
      </c>
      <c r="L140" s="21">
        <v>3224724.59</v>
      </c>
      <c r="M140" s="25">
        <f t="shared" si="54"/>
        <v>-8.3970746165333704E-2</v>
      </c>
      <c r="N140" s="10"/>
      <c r="R140" s="2"/>
    </row>
    <row r="141" spans="1:18" ht="15" customHeight="1" x14ac:dyDescent="0.25">
      <c r="A141" s="19"/>
      <c r="B141" s="20">
        <f>DATE(2022,9,1)</f>
        <v>44805</v>
      </c>
      <c r="C141" s="21">
        <v>41696</v>
      </c>
      <c r="D141" s="21">
        <v>47289</v>
      </c>
      <c r="E141" s="23">
        <f t="shared" si="50"/>
        <v>-0.11827274841929412</v>
      </c>
      <c r="F141" s="21">
        <f>+C141-21639</f>
        <v>20057</v>
      </c>
      <c r="G141" s="21">
        <f>+D141-24190</f>
        <v>23099</v>
      </c>
      <c r="H141" s="23">
        <f t="shared" si="51"/>
        <v>-0.13169401272782372</v>
      </c>
      <c r="I141" s="24">
        <f t="shared" si="52"/>
        <v>74.372837922102846</v>
      </c>
      <c r="J141" s="24">
        <f t="shared" si="53"/>
        <v>154.61184873111631</v>
      </c>
      <c r="K141" s="21">
        <v>3101049.85</v>
      </c>
      <c r="L141" s="21">
        <v>3144600.15</v>
      </c>
      <c r="M141" s="25">
        <f t="shared" si="54"/>
        <v>-1.3849232946198204E-2</v>
      </c>
      <c r="N141" s="10"/>
      <c r="R141" s="2"/>
    </row>
    <row r="142" spans="1:18" ht="15" customHeight="1" x14ac:dyDescent="0.25">
      <c r="A142" s="19"/>
      <c r="B142" s="20">
        <f>DATE(2022,10,1)</f>
        <v>44835</v>
      </c>
      <c r="C142" s="21">
        <v>40713</v>
      </c>
      <c r="D142" s="21">
        <v>51019</v>
      </c>
      <c r="E142" s="23">
        <f t="shared" si="50"/>
        <v>-0.20200317528763795</v>
      </c>
      <c r="F142" s="21">
        <f>+C142-21150</f>
        <v>19563</v>
      </c>
      <c r="G142" s="21">
        <f>+D142-26626</f>
        <v>24393</v>
      </c>
      <c r="H142" s="23">
        <f t="shared" si="51"/>
        <v>-0.19800762513835937</v>
      </c>
      <c r="I142" s="24">
        <f t="shared" si="52"/>
        <v>74.919373910053309</v>
      </c>
      <c r="J142" s="24">
        <f t="shared" si="53"/>
        <v>155.91639676941165</v>
      </c>
      <c r="K142" s="21">
        <v>3050192.47</v>
      </c>
      <c r="L142" s="21">
        <v>3495138.43</v>
      </c>
      <c r="M142" s="25">
        <f t="shared" si="54"/>
        <v>-0.1273042452856438</v>
      </c>
      <c r="N142" s="10"/>
      <c r="R142" s="2"/>
    </row>
    <row r="143" spans="1:18" ht="15" customHeight="1" x14ac:dyDescent="0.25">
      <c r="A143" s="19"/>
      <c r="B143" s="20">
        <f>DATE(2022,11,1)</f>
        <v>44866</v>
      </c>
      <c r="C143" s="21">
        <v>37233</v>
      </c>
      <c r="D143" s="21">
        <v>42978</v>
      </c>
      <c r="E143" s="23">
        <f t="shared" si="50"/>
        <v>-0.13367304202149938</v>
      </c>
      <c r="F143" s="21">
        <f>+C143-19170</f>
        <v>18063</v>
      </c>
      <c r="G143" s="21">
        <f>+D143-22231</f>
        <v>20747</v>
      </c>
      <c r="H143" s="23">
        <f t="shared" si="51"/>
        <v>-0.12936810141225238</v>
      </c>
      <c r="I143" s="24">
        <f t="shared" si="52"/>
        <v>75.175626460398036</v>
      </c>
      <c r="J143" s="24">
        <f t="shared" si="53"/>
        <v>154.95842883241986</v>
      </c>
      <c r="K143" s="21">
        <v>2799014.1</v>
      </c>
      <c r="L143" s="21">
        <v>3192010.29</v>
      </c>
      <c r="M143" s="25">
        <f t="shared" si="54"/>
        <v>-0.12311871024701489</v>
      </c>
      <c r="N143" s="10"/>
      <c r="R143" s="2"/>
    </row>
    <row r="144" spans="1:18" ht="15" customHeight="1" x14ac:dyDescent="0.25">
      <c r="A144" s="19"/>
      <c r="B144" s="20">
        <f>DATE(2022,12,1)</f>
        <v>44896</v>
      </c>
      <c r="C144" s="21">
        <v>38888</v>
      </c>
      <c r="D144" s="21">
        <v>46732</v>
      </c>
      <c r="E144" s="23">
        <f t="shared" si="50"/>
        <v>-0.16785072327313191</v>
      </c>
      <c r="F144" s="21">
        <f>+C144-20548</f>
        <v>18340</v>
      </c>
      <c r="G144" s="21">
        <f>+D144-24398</f>
        <v>22334</v>
      </c>
      <c r="H144" s="23">
        <f t="shared" si="51"/>
        <v>-0.17883048267215904</v>
      </c>
      <c r="I144" s="24">
        <f t="shared" si="52"/>
        <v>79.659887883151626</v>
      </c>
      <c r="J144" s="24">
        <f t="shared" si="53"/>
        <v>168.91023555070885</v>
      </c>
      <c r="K144" s="21">
        <v>3097813.72</v>
      </c>
      <c r="L144" s="21">
        <v>3172345.79</v>
      </c>
      <c r="M144" s="25">
        <f t="shared" si="54"/>
        <v>-2.3494308292287339E-2</v>
      </c>
      <c r="N144" s="10"/>
      <c r="R144" s="2"/>
    </row>
    <row r="145" spans="1:18" ht="15" customHeight="1" x14ac:dyDescent="0.25">
      <c r="A145" s="19"/>
      <c r="B145" s="20">
        <f>DATE(2023,1,1)</f>
        <v>44927</v>
      </c>
      <c r="C145" s="21">
        <v>39674</v>
      </c>
      <c r="D145" s="21">
        <v>38219</v>
      </c>
      <c r="E145" s="23">
        <f t="shared" si="50"/>
        <v>3.8070069860540567E-2</v>
      </c>
      <c r="F145" s="21">
        <f>+C145-21146</f>
        <v>18528</v>
      </c>
      <c r="G145" s="21">
        <f>+D145-20352</f>
        <v>17867</v>
      </c>
      <c r="H145" s="23">
        <f t="shared" si="51"/>
        <v>3.6995578440700734E-2</v>
      </c>
      <c r="I145" s="24">
        <f t="shared" si="52"/>
        <v>72.79951882845188</v>
      </c>
      <c r="J145" s="24">
        <f t="shared" si="53"/>
        <v>155.88558452072539</v>
      </c>
      <c r="K145" s="21">
        <v>2888248.11</v>
      </c>
      <c r="L145" s="21">
        <v>2828394.75</v>
      </c>
      <c r="M145" s="25">
        <f t="shared" si="54"/>
        <v>2.1161600586339608E-2</v>
      </c>
      <c r="N145" s="10"/>
      <c r="R145" s="2"/>
    </row>
    <row r="146" spans="1:18" ht="15" customHeight="1" x14ac:dyDescent="0.25">
      <c r="A146" s="19"/>
      <c r="B146" s="20">
        <f>DATE(2023,2,1)</f>
        <v>44958</v>
      </c>
      <c r="C146" s="21">
        <v>44258</v>
      </c>
      <c r="D146" s="21">
        <v>40513</v>
      </c>
      <c r="E146" s="23">
        <f t="shared" si="50"/>
        <v>9.2439463875792952E-2</v>
      </c>
      <c r="F146" s="21">
        <f>+C146-23416</f>
        <v>20842</v>
      </c>
      <c r="G146" s="21">
        <f>+D146-21623</f>
        <v>18890</v>
      </c>
      <c r="H146" s="23">
        <f t="shared" si="51"/>
        <v>0.10333509793541557</v>
      </c>
      <c r="I146" s="24">
        <f t="shared" si="52"/>
        <v>70.32988205522166</v>
      </c>
      <c r="J146" s="24">
        <f t="shared" si="53"/>
        <v>149.34554841186068</v>
      </c>
      <c r="K146" s="21">
        <v>3112659.92</v>
      </c>
      <c r="L146" s="21">
        <v>2975555.87</v>
      </c>
      <c r="M146" s="25">
        <f t="shared" si="54"/>
        <v>4.6076785646105109E-2</v>
      </c>
      <c r="N146" s="10"/>
      <c r="R146" s="2"/>
    </row>
    <row r="147" spans="1:18" ht="15" customHeight="1" x14ac:dyDescent="0.25">
      <c r="A147" s="19"/>
      <c r="B147" s="20">
        <f>DATE(2023,3,1)</f>
        <v>44986</v>
      </c>
      <c r="C147" s="21">
        <v>46782</v>
      </c>
      <c r="D147" s="21">
        <v>49211</v>
      </c>
      <c r="E147" s="23">
        <f t="shared" si="50"/>
        <v>-4.9358883176525571E-2</v>
      </c>
      <c r="F147" s="21">
        <f>+C147-24795</f>
        <v>21987</v>
      </c>
      <c r="G147" s="21">
        <f>+D147-26110</f>
        <v>23101</v>
      </c>
      <c r="H147" s="23">
        <f t="shared" si="51"/>
        <v>-4.822302064845678E-2</v>
      </c>
      <c r="I147" s="24">
        <f t="shared" si="52"/>
        <v>71.753970757983836</v>
      </c>
      <c r="J147" s="24">
        <f t="shared" si="53"/>
        <v>152.67177241097011</v>
      </c>
      <c r="K147" s="21">
        <v>3356794.26</v>
      </c>
      <c r="L147" s="21">
        <v>3526809.79</v>
      </c>
      <c r="M147" s="25">
        <f t="shared" si="54"/>
        <v>-4.820660600468625E-2</v>
      </c>
      <c r="N147" s="10"/>
      <c r="R147" s="2"/>
    </row>
    <row r="148" spans="1:18" ht="15" customHeight="1" x14ac:dyDescent="0.25">
      <c r="A148" s="19"/>
      <c r="B148" s="20">
        <f>DATE(2023,4,1)</f>
        <v>45017</v>
      </c>
      <c r="C148" s="21">
        <v>44655</v>
      </c>
      <c r="D148" s="21">
        <v>48033</v>
      </c>
      <c r="E148" s="23">
        <f t="shared" si="50"/>
        <v>-7.0326650427830872E-2</v>
      </c>
      <c r="F148" s="21">
        <f>+C148-23221</f>
        <v>21434</v>
      </c>
      <c r="G148" s="21">
        <f>+D148-25621</f>
        <v>22412</v>
      </c>
      <c r="H148" s="23">
        <f t="shared" si="51"/>
        <v>-4.3637337140817418E-2</v>
      </c>
      <c r="I148" s="24">
        <f t="shared" si="52"/>
        <v>71.032373530399738</v>
      </c>
      <c r="J148" s="24">
        <f t="shared" si="53"/>
        <v>147.98687319212468</v>
      </c>
      <c r="K148" s="21">
        <v>3171950.64</v>
      </c>
      <c r="L148" s="21">
        <v>3485287.53</v>
      </c>
      <c r="M148" s="25">
        <f t="shared" si="54"/>
        <v>-8.9902737522490631E-2</v>
      </c>
      <c r="N148" s="10"/>
      <c r="R148" s="2"/>
    </row>
    <row r="149" spans="1:18" ht="15.75" thickBot="1" x14ac:dyDescent="0.25">
      <c r="A149" s="38"/>
      <c r="B149" s="20"/>
      <c r="C149" s="21"/>
      <c r="D149" s="21"/>
      <c r="E149" s="23"/>
      <c r="F149" s="21"/>
      <c r="G149" s="21"/>
      <c r="H149" s="23"/>
      <c r="I149" s="24"/>
      <c r="J149" s="24"/>
      <c r="K149" s="21"/>
      <c r="L149" s="21"/>
      <c r="M149" s="25"/>
      <c r="N149" s="10"/>
      <c r="R149" s="2"/>
    </row>
    <row r="150" spans="1:18" ht="17.25" thickTop="1" thickBot="1" x14ac:dyDescent="0.3">
      <c r="A150" s="62" t="s">
        <v>14</v>
      </c>
      <c r="B150" s="52"/>
      <c r="C150" s="48">
        <f>SUM(C139:C149)</f>
        <v>420620</v>
      </c>
      <c r="D150" s="48">
        <f>SUM(D139:D149)</f>
        <v>466201</v>
      </c>
      <c r="E150" s="280">
        <f>(+C150-D150)/D150</f>
        <v>-9.777113305205265E-2</v>
      </c>
      <c r="F150" s="48">
        <f>SUM(F139:F149)</f>
        <v>200651</v>
      </c>
      <c r="G150" s="48">
        <f>SUM(G139:G149)</f>
        <v>222474</v>
      </c>
      <c r="H150" s="42">
        <f>(+F150-G150)/G150</f>
        <v>-9.8092361354585253E-2</v>
      </c>
      <c r="I150" s="50">
        <f>K150/C150</f>
        <v>73.190713256621166</v>
      </c>
      <c r="J150" s="50">
        <f>K150/F150</f>
        <v>153.42798097193634</v>
      </c>
      <c r="K150" s="48">
        <f>SUM(K139:K149)</f>
        <v>30785477.809999995</v>
      </c>
      <c r="L150" s="48">
        <f>SUM(L139:L149)</f>
        <v>32681675.809999999</v>
      </c>
      <c r="M150" s="44">
        <f>(+K150-L150)/L150</f>
        <v>-5.8020219373811965E-2</v>
      </c>
      <c r="N150" s="10"/>
      <c r="R150" s="2"/>
    </row>
    <row r="151" spans="1:18" ht="15.75" customHeight="1" thickTop="1" x14ac:dyDescent="0.25">
      <c r="A151" s="19"/>
      <c r="B151" s="45"/>
      <c r="C151" s="21"/>
      <c r="D151" s="21"/>
      <c r="E151" s="23"/>
      <c r="F151" s="21"/>
      <c r="G151" s="21"/>
      <c r="H151" s="23"/>
      <c r="I151" s="24"/>
      <c r="J151" s="24"/>
      <c r="K151" s="21"/>
      <c r="L151" s="21"/>
      <c r="M151" s="25"/>
      <c r="N151" s="10"/>
      <c r="R151" s="2"/>
    </row>
    <row r="152" spans="1:18" ht="15.75" x14ac:dyDescent="0.25">
      <c r="A152" s="19" t="s">
        <v>17</v>
      </c>
      <c r="B152" s="20">
        <f>DATE(2022,7,1)</f>
        <v>44743</v>
      </c>
      <c r="C152" s="21">
        <v>376535</v>
      </c>
      <c r="D152" s="21">
        <v>395405</v>
      </c>
      <c r="E152" s="23">
        <f t="shared" ref="E152:E161" si="55">(+C152-D152)/D152</f>
        <v>-4.7723220495441386E-2</v>
      </c>
      <c r="F152" s="21">
        <f>+C152-192471</f>
        <v>184064</v>
      </c>
      <c r="G152" s="21">
        <f>+D152-202613</f>
        <v>192792</v>
      </c>
      <c r="H152" s="23">
        <f t="shared" ref="H152:H161" si="56">(+F152-G152)/G152</f>
        <v>-4.527158803269845E-2</v>
      </c>
      <c r="I152" s="24">
        <f t="shared" ref="I152:I161" si="57">K152/C152</f>
        <v>70.907800948119032</v>
      </c>
      <c r="J152" s="24">
        <f t="shared" ref="J152:J161" si="58">K152/F152</f>
        <v>145.05426824365438</v>
      </c>
      <c r="K152" s="21">
        <v>26699268.829999998</v>
      </c>
      <c r="L152" s="21">
        <v>26479612.129999999</v>
      </c>
      <c r="M152" s="25">
        <f t="shared" ref="M152:M161" si="59">(+K152-L152)/L152</f>
        <v>8.2953141051163599E-3</v>
      </c>
      <c r="N152" s="10"/>
      <c r="R152" s="2"/>
    </row>
    <row r="153" spans="1:18" ht="15.75" x14ac:dyDescent="0.25">
      <c r="A153" s="19"/>
      <c r="B153" s="20">
        <f>DATE(2022,8,1)</f>
        <v>44774</v>
      </c>
      <c r="C153" s="21">
        <v>348725</v>
      </c>
      <c r="D153" s="21">
        <v>360122</v>
      </c>
      <c r="E153" s="23">
        <f t="shared" si="55"/>
        <v>-3.1647608310516995E-2</v>
      </c>
      <c r="F153" s="21">
        <f>+C153-177430</f>
        <v>171295</v>
      </c>
      <c r="G153" s="21">
        <f>+D153-186327</f>
        <v>173795</v>
      </c>
      <c r="H153" s="23">
        <f t="shared" si="56"/>
        <v>-1.4384763658333093E-2</v>
      </c>
      <c r="I153" s="24">
        <f t="shared" si="57"/>
        <v>76.335936798336789</v>
      </c>
      <c r="J153" s="24">
        <f t="shared" si="58"/>
        <v>155.40587617852242</v>
      </c>
      <c r="K153" s="21">
        <v>26620249.559999999</v>
      </c>
      <c r="L153" s="21">
        <v>24423693.359999999</v>
      </c>
      <c r="M153" s="25">
        <f t="shared" si="59"/>
        <v>8.9935464207776941E-2</v>
      </c>
      <c r="N153" s="10"/>
      <c r="R153" s="2"/>
    </row>
    <row r="154" spans="1:18" ht="15.75" x14ac:dyDescent="0.25">
      <c r="A154" s="19"/>
      <c r="B154" s="20">
        <f>DATE(2022,9,1)</f>
        <v>44805</v>
      </c>
      <c r="C154" s="21">
        <v>351773</v>
      </c>
      <c r="D154" s="21">
        <v>353289</v>
      </c>
      <c r="E154" s="23">
        <f t="shared" si="55"/>
        <v>-4.2911044498979587E-3</v>
      </c>
      <c r="F154" s="21">
        <f>+C154-180127</f>
        <v>171646</v>
      </c>
      <c r="G154" s="21">
        <f>+D154-183914</f>
        <v>169375</v>
      </c>
      <c r="H154" s="23">
        <f t="shared" si="56"/>
        <v>1.3408118081180812E-2</v>
      </c>
      <c r="I154" s="24">
        <f t="shared" si="57"/>
        <v>69.592392594087656</v>
      </c>
      <c r="J154" s="24">
        <f t="shared" si="58"/>
        <v>142.62333360521072</v>
      </c>
      <c r="K154" s="21">
        <v>24480724.719999999</v>
      </c>
      <c r="L154" s="21">
        <v>23757941.859999999</v>
      </c>
      <c r="M154" s="25">
        <f t="shared" si="59"/>
        <v>3.0422789324899856E-2</v>
      </c>
      <c r="N154" s="10"/>
      <c r="R154" s="2"/>
    </row>
    <row r="155" spans="1:18" ht="15.75" x14ac:dyDescent="0.25">
      <c r="A155" s="19"/>
      <c r="B155" s="20">
        <f>DATE(2022,10,1)</f>
        <v>44835</v>
      </c>
      <c r="C155" s="21">
        <v>353411</v>
      </c>
      <c r="D155" s="21">
        <v>364454</v>
      </c>
      <c r="E155" s="23">
        <f t="shared" si="55"/>
        <v>-3.0300120179775774E-2</v>
      </c>
      <c r="F155" s="21">
        <f>+C155-182814</f>
        <v>170597</v>
      </c>
      <c r="G155" s="21">
        <f>+D155-184794</f>
        <v>179660</v>
      </c>
      <c r="H155" s="23">
        <f t="shared" si="56"/>
        <v>-5.0445285539352111E-2</v>
      </c>
      <c r="I155" s="24">
        <f t="shared" si="57"/>
        <v>69.239153082388484</v>
      </c>
      <c r="J155" s="24">
        <f t="shared" si="58"/>
        <v>143.43674466725673</v>
      </c>
      <c r="K155" s="21">
        <v>24469878.329999998</v>
      </c>
      <c r="L155" s="21">
        <v>26630976.690000001</v>
      </c>
      <c r="M155" s="25">
        <f t="shared" si="59"/>
        <v>-8.1149797288940631E-2</v>
      </c>
      <c r="N155" s="10"/>
      <c r="R155" s="2"/>
    </row>
    <row r="156" spans="1:18" ht="15.75" x14ac:dyDescent="0.25">
      <c r="A156" s="19"/>
      <c r="B156" s="20">
        <f>DATE(2022,11,1)</f>
        <v>44866</v>
      </c>
      <c r="C156" s="21">
        <v>324947</v>
      </c>
      <c r="D156" s="21">
        <v>343235</v>
      </c>
      <c r="E156" s="23">
        <f t="shared" si="55"/>
        <v>-5.3281279589785423E-2</v>
      </c>
      <c r="F156" s="21">
        <f>+C156-166237</f>
        <v>158710</v>
      </c>
      <c r="G156" s="21">
        <f>+D156-177609</f>
        <v>165626</v>
      </c>
      <c r="H156" s="23">
        <f t="shared" si="56"/>
        <v>-4.1756729015975755E-2</v>
      </c>
      <c r="I156" s="24">
        <f t="shared" si="57"/>
        <v>74.354482915675476</v>
      </c>
      <c r="J156" s="24">
        <f t="shared" si="58"/>
        <v>152.23531069245794</v>
      </c>
      <c r="K156" s="21">
        <v>24161266.16</v>
      </c>
      <c r="L156" s="21">
        <v>23879448.84</v>
      </c>
      <c r="M156" s="25">
        <f t="shared" si="59"/>
        <v>1.1801667697117598E-2</v>
      </c>
      <c r="N156" s="10"/>
      <c r="R156" s="2"/>
    </row>
    <row r="157" spans="1:18" ht="15.75" x14ac:dyDescent="0.25">
      <c r="A157" s="19"/>
      <c r="B157" s="20">
        <f>DATE(2022,12,1)</f>
        <v>44896</v>
      </c>
      <c r="C157" s="21">
        <v>362717</v>
      </c>
      <c r="D157" s="21">
        <v>379724</v>
      </c>
      <c r="E157" s="23">
        <f t="shared" si="55"/>
        <v>-4.4787793239300121E-2</v>
      </c>
      <c r="F157" s="21">
        <f>+C157-186399</f>
        <v>176318</v>
      </c>
      <c r="G157" s="21">
        <f>+D157-197551</f>
        <v>182173</v>
      </c>
      <c r="H157" s="23">
        <f t="shared" si="56"/>
        <v>-3.2139779220850512E-2</v>
      </c>
      <c r="I157" s="24">
        <f t="shared" si="57"/>
        <v>69.681483139748067</v>
      </c>
      <c r="J157" s="24">
        <f t="shared" si="58"/>
        <v>143.34701232999467</v>
      </c>
      <c r="K157" s="21">
        <v>25274658.52</v>
      </c>
      <c r="L157" s="21">
        <v>27250161.699999999</v>
      </c>
      <c r="M157" s="25">
        <f t="shared" si="59"/>
        <v>-7.2495099359355358E-2</v>
      </c>
      <c r="N157" s="10"/>
      <c r="R157" s="2"/>
    </row>
    <row r="158" spans="1:18" ht="15.75" x14ac:dyDescent="0.25">
      <c r="A158" s="19"/>
      <c r="B158" s="20">
        <f>DATE(2023,1,1)</f>
        <v>44927</v>
      </c>
      <c r="C158" s="21">
        <v>343820</v>
      </c>
      <c r="D158" s="21">
        <v>335416</v>
      </c>
      <c r="E158" s="23">
        <f t="shared" si="55"/>
        <v>2.5055453526367257E-2</v>
      </c>
      <c r="F158" s="21">
        <f>+C158-178333</f>
        <v>165487</v>
      </c>
      <c r="G158" s="21">
        <f>+D158-174643</f>
        <v>160773</v>
      </c>
      <c r="H158" s="23">
        <f t="shared" si="56"/>
        <v>2.9320843673999987E-2</v>
      </c>
      <c r="I158" s="24">
        <f t="shared" si="57"/>
        <v>70.874840439764995</v>
      </c>
      <c r="J158" s="24">
        <f t="shared" si="58"/>
        <v>147.25137104425121</v>
      </c>
      <c r="K158" s="21">
        <v>24368187.640000001</v>
      </c>
      <c r="L158" s="21">
        <v>24334132.34</v>
      </c>
      <c r="M158" s="25">
        <f t="shared" si="59"/>
        <v>1.3994869233131138E-3</v>
      </c>
      <c r="N158" s="10"/>
      <c r="R158" s="2"/>
    </row>
    <row r="159" spans="1:18" ht="15.75" x14ac:dyDescent="0.25">
      <c r="A159" s="19"/>
      <c r="B159" s="20">
        <f>DATE(2023,2,1)</f>
        <v>44958</v>
      </c>
      <c r="C159" s="21">
        <v>340730</v>
      </c>
      <c r="D159" s="21">
        <v>330616</v>
      </c>
      <c r="E159" s="23">
        <f t="shared" si="55"/>
        <v>3.0591380937401699E-2</v>
      </c>
      <c r="F159" s="21">
        <f>+C159-178797</f>
        <v>161933</v>
      </c>
      <c r="G159" s="21">
        <f>+D159-173794</f>
        <v>156822</v>
      </c>
      <c r="H159" s="23">
        <f t="shared" si="56"/>
        <v>3.2591090535766663E-2</v>
      </c>
      <c r="I159" s="24">
        <f t="shared" si="57"/>
        <v>74.575224782085527</v>
      </c>
      <c r="J159" s="24">
        <f t="shared" si="58"/>
        <v>156.91685042579337</v>
      </c>
      <c r="K159" s="21">
        <v>25410016.34</v>
      </c>
      <c r="L159" s="21">
        <v>23208177.539999999</v>
      </c>
      <c r="M159" s="25">
        <f t="shared" si="59"/>
        <v>9.4873403833845404E-2</v>
      </c>
      <c r="N159" s="10"/>
      <c r="R159" s="2"/>
    </row>
    <row r="160" spans="1:18" ht="15.75" x14ac:dyDescent="0.25">
      <c r="A160" s="19"/>
      <c r="B160" s="20">
        <f>DATE(2023,3,1)</f>
        <v>44986</v>
      </c>
      <c r="C160" s="21">
        <v>357838</v>
      </c>
      <c r="D160" s="21">
        <v>370986</v>
      </c>
      <c r="E160" s="23">
        <f t="shared" si="55"/>
        <v>-3.5440690484277032E-2</v>
      </c>
      <c r="F160" s="21">
        <f>+C160-185528</f>
        <v>172310</v>
      </c>
      <c r="G160" s="21">
        <f>+D160-192946</f>
        <v>178040</v>
      </c>
      <c r="H160" s="23">
        <f t="shared" si="56"/>
        <v>-3.2183778926084025E-2</v>
      </c>
      <c r="I160" s="24">
        <f t="shared" si="57"/>
        <v>74.973491775607954</v>
      </c>
      <c r="J160" s="24">
        <f t="shared" si="58"/>
        <v>155.69824357263073</v>
      </c>
      <c r="K160" s="21">
        <v>26828364.350000001</v>
      </c>
      <c r="L160" s="21">
        <v>26726725.440000001</v>
      </c>
      <c r="M160" s="25">
        <f t="shared" si="59"/>
        <v>3.8028942314004685E-3</v>
      </c>
      <c r="N160" s="10"/>
      <c r="R160" s="2"/>
    </row>
    <row r="161" spans="1:18" ht="15.75" x14ac:dyDescent="0.25">
      <c r="A161" s="19"/>
      <c r="B161" s="20">
        <f>DATE(2023,4,1)</f>
        <v>45017</v>
      </c>
      <c r="C161" s="21">
        <v>334582</v>
      </c>
      <c r="D161" s="21">
        <v>365479</v>
      </c>
      <c r="E161" s="23">
        <f t="shared" si="55"/>
        <v>-8.4538372929771621E-2</v>
      </c>
      <c r="F161" s="21">
        <f>+C161-173839</f>
        <v>160743</v>
      </c>
      <c r="G161" s="21">
        <f>+D161-189071</f>
        <v>176408</v>
      </c>
      <c r="H161" s="23">
        <f t="shared" si="56"/>
        <v>-8.8799827672214407E-2</v>
      </c>
      <c r="I161" s="24">
        <f t="shared" si="57"/>
        <v>79.608322802780776</v>
      </c>
      <c r="J161" s="24">
        <f t="shared" si="58"/>
        <v>165.70246828788811</v>
      </c>
      <c r="K161" s="21">
        <v>26635511.859999999</v>
      </c>
      <c r="L161" s="21">
        <v>26384448.559999999</v>
      </c>
      <c r="M161" s="25">
        <f t="shared" si="59"/>
        <v>9.5155788239828492E-3</v>
      </c>
      <c r="N161" s="10"/>
      <c r="R161" s="2"/>
    </row>
    <row r="162" spans="1:18" ht="15.75" thickBot="1" x14ac:dyDescent="0.25">
      <c r="A162" s="38"/>
      <c r="B162" s="45"/>
      <c r="C162" s="21"/>
      <c r="D162" s="21"/>
      <c r="E162" s="23"/>
      <c r="F162" s="21"/>
      <c r="G162" s="21"/>
      <c r="H162" s="23"/>
      <c r="I162" s="24"/>
      <c r="J162" s="24"/>
      <c r="K162" s="21"/>
      <c r="L162" s="21"/>
      <c r="M162" s="25"/>
      <c r="N162" s="10"/>
      <c r="R162" s="2"/>
    </row>
    <row r="163" spans="1:18" ht="17.25" thickTop="1" thickBot="1" x14ac:dyDescent="0.3">
      <c r="A163" s="39" t="s">
        <v>14</v>
      </c>
      <c r="B163" s="40"/>
      <c r="C163" s="41">
        <f>SUM(C152:C162)</f>
        <v>3495078</v>
      </c>
      <c r="D163" s="41">
        <f>SUM(D152:D162)</f>
        <v>3598726</v>
      </c>
      <c r="E163" s="280">
        <f>(+C163-D163)/D163</f>
        <v>-2.8801303572430909E-2</v>
      </c>
      <c r="F163" s="41">
        <f>SUM(F152:F162)</f>
        <v>1693103</v>
      </c>
      <c r="G163" s="41">
        <f>SUM(G152:G162)</f>
        <v>1735464</v>
      </c>
      <c r="H163" s="42">
        <f>(+F163-G163)/G163</f>
        <v>-2.4409034125743894E-2</v>
      </c>
      <c r="I163" s="43">
        <f>K163/C163</f>
        <v>72.944903178126495</v>
      </c>
      <c r="J163" s="43">
        <f>K163/F163</f>
        <v>150.58039960356811</v>
      </c>
      <c r="K163" s="41">
        <f>SUM(K152:K162)</f>
        <v>254948126.31</v>
      </c>
      <c r="L163" s="41">
        <f>SUM(L152:L162)</f>
        <v>253075318.45999998</v>
      </c>
      <c r="M163" s="44">
        <f>(+K163-L163)/L163</f>
        <v>7.4001995192432488E-3</v>
      </c>
      <c r="N163" s="10"/>
      <c r="R163" s="2"/>
    </row>
    <row r="164" spans="1:18" ht="15.75" customHeight="1" thickTop="1" x14ac:dyDescent="0.25">
      <c r="A164" s="19"/>
      <c r="B164" s="45"/>
      <c r="C164" s="21"/>
      <c r="D164" s="21"/>
      <c r="E164" s="23"/>
      <c r="F164" s="21"/>
      <c r="G164" s="21"/>
      <c r="H164" s="23"/>
      <c r="I164" s="24"/>
      <c r="J164" s="24"/>
      <c r="K164" s="21"/>
      <c r="L164" s="21"/>
      <c r="M164" s="25"/>
      <c r="N164" s="10"/>
      <c r="R164" s="2"/>
    </row>
    <row r="165" spans="1:18" ht="15.75" x14ac:dyDescent="0.25">
      <c r="A165" s="19" t="s">
        <v>56</v>
      </c>
      <c r="B165" s="20">
        <f>DATE(2022,7,1)</f>
        <v>44743</v>
      </c>
      <c r="C165" s="21">
        <v>68778</v>
      </c>
      <c r="D165" s="21">
        <v>70527</v>
      </c>
      <c r="E165" s="23">
        <f t="shared" ref="E165:E174" si="60">(+C165-D165)/D165</f>
        <v>-2.4799013143902336E-2</v>
      </c>
      <c r="F165" s="21">
        <f>+C165-29763</f>
        <v>39015</v>
      </c>
      <c r="G165" s="21">
        <f>+D165-30135</f>
        <v>40392</v>
      </c>
      <c r="H165" s="23">
        <f t="shared" ref="H165:H174" si="61">(+F165-G165)/G165</f>
        <v>-3.4090909090909088E-2</v>
      </c>
      <c r="I165" s="24">
        <f t="shared" ref="I165:I174" si="62">K165/C165</f>
        <v>60.163594463345838</v>
      </c>
      <c r="J165" s="24">
        <f t="shared" ref="J165:J174" si="63">K165/F165</f>
        <v>106.060020504934</v>
      </c>
      <c r="K165" s="21">
        <v>4137931.7</v>
      </c>
      <c r="L165" s="21">
        <v>4091344.57</v>
      </c>
      <c r="M165" s="25">
        <f t="shared" ref="M165:M174" si="64">(+K165-L165)/L165</f>
        <v>1.1386752986195039E-2</v>
      </c>
      <c r="N165" s="10"/>
      <c r="R165" s="2"/>
    </row>
    <row r="166" spans="1:18" ht="15.75" x14ac:dyDescent="0.25">
      <c r="A166" s="19"/>
      <c r="B166" s="20">
        <f>DATE(2022,8,1)</f>
        <v>44774</v>
      </c>
      <c r="C166" s="21">
        <v>61732</v>
      </c>
      <c r="D166" s="21">
        <v>69916</v>
      </c>
      <c r="E166" s="23">
        <f t="shared" si="60"/>
        <v>-0.1170547514159849</v>
      </c>
      <c r="F166" s="21">
        <f>+C166-26815</f>
        <v>34917</v>
      </c>
      <c r="G166" s="21">
        <f>+D166-30124</f>
        <v>39792</v>
      </c>
      <c r="H166" s="23">
        <f t="shared" si="61"/>
        <v>-0.12251206272617611</v>
      </c>
      <c r="I166" s="24">
        <f t="shared" si="62"/>
        <v>59.282511339337788</v>
      </c>
      <c r="J166" s="24">
        <f t="shared" si="63"/>
        <v>104.80934759572702</v>
      </c>
      <c r="K166" s="21">
        <v>3659627.99</v>
      </c>
      <c r="L166" s="21">
        <v>3930320.16</v>
      </c>
      <c r="M166" s="25">
        <f t="shared" si="64"/>
        <v>-6.8872803990604137E-2</v>
      </c>
      <c r="N166" s="10"/>
      <c r="R166" s="2"/>
    </row>
    <row r="167" spans="1:18" ht="15.75" x14ac:dyDescent="0.25">
      <c r="A167" s="19"/>
      <c r="B167" s="20">
        <f>DATE(2022,9,1)</f>
        <v>44805</v>
      </c>
      <c r="C167" s="21">
        <v>62788</v>
      </c>
      <c r="D167" s="21">
        <v>66900</v>
      </c>
      <c r="E167" s="23">
        <f t="shared" si="60"/>
        <v>-6.146487294469357E-2</v>
      </c>
      <c r="F167" s="21">
        <f>+C167-27365</f>
        <v>35423</v>
      </c>
      <c r="G167" s="21">
        <f>+D167-28690</f>
        <v>38210</v>
      </c>
      <c r="H167" s="23">
        <f t="shared" si="61"/>
        <v>-7.2939021198639098E-2</v>
      </c>
      <c r="I167" s="24">
        <f t="shared" si="62"/>
        <v>63.07989759189654</v>
      </c>
      <c r="J167" s="24">
        <f t="shared" si="63"/>
        <v>111.81042288908336</v>
      </c>
      <c r="K167" s="21">
        <v>3960660.61</v>
      </c>
      <c r="L167" s="21">
        <v>3635691.87</v>
      </c>
      <c r="M167" s="25">
        <f t="shared" si="64"/>
        <v>8.9382915719972644E-2</v>
      </c>
      <c r="N167" s="10"/>
      <c r="R167" s="2"/>
    </row>
    <row r="168" spans="1:18" ht="15.75" x14ac:dyDescent="0.25">
      <c r="A168" s="19"/>
      <c r="B168" s="20">
        <f>DATE(2022,10,1)</f>
        <v>44835</v>
      </c>
      <c r="C168" s="21">
        <v>62422</v>
      </c>
      <c r="D168" s="21">
        <v>71041</v>
      </c>
      <c r="E168" s="23">
        <f t="shared" si="60"/>
        <v>-0.12132430568263397</v>
      </c>
      <c r="F168" s="21">
        <f>+C168-27630</f>
        <v>34792</v>
      </c>
      <c r="G168" s="21">
        <f>+D168-30775</f>
        <v>40266</v>
      </c>
      <c r="H168" s="23">
        <f t="shared" si="61"/>
        <v>-0.13594595937018825</v>
      </c>
      <c r="I168" s="24">
        <f t="shared" si="62"/>
        <v>61.52534154624972</v>
      </c>
      <c r="J168" s="24">
        <f t="shared" si="63"/>
        <v>110.38557340767993</v>
      </c>
      <c r="K168" s="21">
        <v>3840534.87</v>
      </c>
      <c r="L168" s="21">
        <v>4122858.46</v>
      </c>
      <c r="M168" s="25">
        <f t="shared" si="64"/>
        <v>-6.8477633355378362E-2</v>
      </c>
      <c r="N168" s="10"/>
      <c r="R168" s="2"/>
    </row>
    <row r="169" spans="1:18" ht="15.75" x14ac:dyDescent="0.25">
      <c r="A169" s="19"/>
      <c r="B169" s="20">
        <f>DATE(2022,11,1)</f>
        <v>44866</v>
      </c>
      <c r="C169" s="21">
        <v>58006</v>
      </c>
      <c r="D169" s="21">
        <v>63538</v>
      </c>
      <c r="E169" s="23">
        <f t="shared" si="60"/>
        <v>-8.706600774339765E-2</v>
      </c>
      <c r="F169" s="21">
        <f>+C169-26107</f>
        <v>31899</v>
      </c>
      <c r="G169" s="21">
        <f>+D169-27532</f>
        <v>36006</v>
      </c>
      <c r="H169" s="23">
        <f t="shared" si="61"/>
        <v>-0.11406432261289785</v>
      </c>
      <c r="I169" s="24">
        <f t="shared" si="62"/>
        <v>61.605238078819433</v>
      </c>
      <c r="J169" s="24">
        <f t="shared" si="63"/>
        <v>112.02462271544562</v>
      </c>
      <c r="K169" s="21">
        <v>3573473.44</v>
      </c>
      <c r="L169" s="21">
        <v>3745220.41</v>
      </c>
      <c r="M169" s="25">
        <f t="shared" si="64"/>
        <v>-4.5857640191595612E-2</v>
      </c>
      <c r="N169" s="10"/>
      <c r="R169" s="2"/>
    </row>
    <row r="170" spans="1:18" ht="15.75" x14ac:dyDescent="0.25">
      <c r="A170" s="19"/>
      <c r="B170" s="20">
        <f>DATE(2022,12,1)</f>
        <v>44896</v>
      </c>
      <c r="C170" s="21">
        <v>64256</v>
      </c>
      <c r="D170" s="21">
        <v>69761</v>
      </c>
      <c r="E170" s="23">
        <f t="shared" si="60"/>
        <v>-7.8912286234428974E-2</v>
      </c>
      <c r="F170" s="21">
        <f>+C170-29013</f>
        <v>35243</v>
      </c>
      <c r="G170" s="21">
        <f>+D170-31055</f>
        <v>38706</v>
      </c>
      <c r="H170" s="23">
        <f t="shared" si="61"/>
        <v>-8.9469332919960731E-2</v>
      </c>
      <c r="I170" s="24">
        <f t="shared" si="62"/>
        <v>61.231998412599602</v>
      </c>
      <c r="J170" s="24">
        <f t="shared" si="63"/>
        <v>111.63985160173651</v>
      </c>
      <c r="K170" s="21">
        <v>3934523.29</v>
      </c>
      <c r="L170" s="21">
        <v>4118536.58</v>
      </c>
      <c r="M170" s="25">
        <f t="shared" si="64"/>
        <v>-4.4679289943322549E-2</v>
      </c>
      <c r="N170" s="10"/>
      <c r="R170" s="2"/>
    </row>
    <row r="171" spans="1:18" ht="15.75" x14ac:dyDescent="0.25">
      <c r="A171" s="19"/>
      <c r="B171" s="20">
        <f>DATE(2023,1,1)</f>
        <v>44927</v>
      </c>
      <c r="C171" s="21">
        <v>59434</v>
      </c>
      <c r="D171" s="21">
        <v>58380</v>
      </c>
      <c r="E171" s="23">
        <f t="shared" si="60"/>
        <v>1.8054128126070573E-2</v>
      </c>
      <c r="F171" s="21">
        <f>+C171-26887</f>
        <v>32547</v>
      </c>
      <c r="G171" s="21">
        <f>+D171-26040</f>
        <v>32340</v>
      </c>
      <c r="H171" s="23">
        <f t="shared" si="61"/>
        <v>6.4007421150278293E-3</v>
      </c>
      <c r="I171" s="24">
        <f t="shared" si="62"/>
        <v>61.418746340478513</v>
      </c>
      <c r="J171" s="24">
        <f t="shared" si="63"/>
        <v>112.15662795342121</v>
      </c>
      <c r="K171" s="21">
        <v>3650361.77</v>
      </c>
      <c r="L171" s="21">
        <v>3541693.83</v>
      </c>
      <c r="M171" s="25">
        <f t="shared" si="64"/>
        <v>3.0682477146817613E-2</v>
      </c>
      <c r="N171" s="10"/>
      <c r="R171" s="2"/>
    </row>
    <row r="172" spans="1:18" ht="15.75" x14ac:dyDescent="0.25">
      <c r="A172" s="19"/>
      <c r="B172" s="20">
        <f>DATE(2023,2,1)</f>
        <v>44958</v>
      </c>
      <c r="C172" s="21">
        <v>65887</v>
      </c>
      <c r="D172" s="21">
        <v>66748</v>
      </c>
      <c r="E172" s="23">
        <f t="shared" si="60"/>
        <v>-1.2899262899262898E-2</v>
      </c>
      <c r="F172" s="21">
        <f>+C172-30047</f>
        <v>35840</v>
      </c>
      <c r="G172" s="21">
        <f>+D172-30082</f>
        <v>36666</v>
      </c>
      <c r="H172" s="23">
        <f t="shared" si="61"/>
        <v>-2.2527682321496753E-2</v>
      </c>
      <c r="I172" s="24">
        <f t="shared" si="62"/>
        <v>62.829925933795742</v>
      </c>
      <c r="J172" s="24">
        <f t="shared" si="63"/>
        <v>115.50433398437501</v>
      </c>
      <c r="K172" s="21">
        <v>4139675.33</v>
      </c>
      <c r="L172" s="21">
        <v>4039571.72</v>
      </c>
      <c r="M172" s="25">
        <f t="shared" si="64"/>
        <v>2.4780748291801553E-2</v>
      </c>
      <c r="N172" s="10"/>
      <c r="R172" s="2"/>
    </row>
    <row r="173" spans="1:18" ht="15.75" x14ac:dyDescent="0.25">
      <c r="A173" s="19"/>
      <c r="B173" s="20">
        <f>DATE(2023,3,1)</f>
        <v>44986</v>
      </c>
      <c r="C173" s="21">
        <v>75208</v>
      </c>
      <c r="D173" s="21">
        <v>73525</v>
      </c>
      <c r="E173" s="23">
        <f t="shared" si="60"/>
        <v>2.2890173410404623E-2</v>
      </c>
      <c r="F173" s="21">
        <f>+C173-34160</f>
        <v>41048</v>
      </c>
      <c r="G173" s="21">
        <f>+D173-32882</f>
        <v>40643</v>
      </c>
      <c r="H173" s="23">
        <f t="shared" si="61"/>
        <v>9.964815589400388E-3</v>
      </c>
      <c r="I173" s="24">
        <f t="shared" si="62"/>
        <v>61.107187932134877</v>
      </c>
      <c r="J173" s="24">
        <f t="shared" si="63"/>
        <v>111.96037297797699</v>
      </c>
      <c r="K173" s="21">
        <v>4595749.3899999997</v>
      </c>
      <c r="L173" s="21">
        <v>4535265.51</v>
      </c>
      <c r="M173" s="25">
        <f t="shared" si="64"/>
        <v>1.3336348195411362E-2</v>
      </c>
      <c r="N173" s="10"/>
      <c r="R173" s="2"/>
    </row>
    <row r="174" spans="1:18" ht="15.75" x14ac:dyDescent="0.25">
      <c r="A174" s="19"/>
      <c r="B174" s="20">
        <f>DATE(2023,4,1)</f>
        <v>45017</v>
      </c>
      <c r="C174" s="21">
        <v>68880</v>
      </c>
      <c r="D174" s="21">
        <v>72346</v>
      </c>
      <c r="E174" s="23">
        <f t="shared" si="60"/>
        <v>-4.7908661156110914E-2</v>
      </c>
      <c r="F174" s="21">
        <f>+C174-31217</f>
        <v>37663</v>
      </c>
      <c r="G174" s="21">
        <f>+D174-32026</f>
        <v>40320</v>
      </c>
      <c r="H174" s="23">
        <f t="shared" si="61"/>
        <v>-6.5897817460317462E-2</v>
      </c>
      <c r="I174" s="24">
        <f t="shared" si="62"/>
        <v>62.698019454123113</v>
      </c>
      <c r="J174" s="24">
        <f t="shared" si="63"/>
        <v>114.6653102514404</v>
      </c>
      <c r="K174" s="21">
        <v>4318639.58</v>
      </c>
      <c r="L174" s="21">
        <v>4588560.75</v>
      </c>
      <c r="M174" s="25">
        <f t="shared" si="64"/>
        <v>-5.8824800347254839E-2</v>
      </c>
      <c r="N174" s="10"/>
      <c r="R174" s="2"/>
    </row>
    <row r="175" spans="1:18" ht="15.75" thickBot="1" x14ac:dyDescent="0.25">
      <c r="A175" s="38"/>
      <c r="B175" s="45"/>
      <c r="C175" s="21"/>
      <c r="D175" s="21"/>
      <c r="E175" s="23"/>
      <c r="F175" s="21"/>
      <c r="G175" s="21"/>
      <c r="H175" s="23"/>
      <c r="I175" s="24"/>
      <c r="J175" s="24"/>
      <c r="K175" s="21"/>
      <c r="L175" s="21"/>
      <c r="M175" s="25"/>
      <c r="N175" s="10"/>
      <c r="R175" s="2"/>
    </row>
    <row r="176" spans="1:18" ht="17.25" thickTop="1" thickBot="1" x14ac:dyDescent="0.3">
      <c r="A176" s="26" t="s">
        <v>14</v>
      </c>
      <c r="B176" s="27"/>
      <c r="C176" s="28">
        <f>SUM(C165:C175)</f>
        <v>647391</v>
      </c>
      <c r="D176" s="28">
        <f>SUM(D165:D175)</f>
        <v>682682</v>
      </c>
      <c r="E176" s="280">
        <f>(+C176-D176)/D176</f>
        <v>-5.1694639671179259E-2</v>
      </c>
      <c r="F176" s="28">
        <f>SUM(F165:F175)</f>
        <v>358387</v>
      </c>
      <c r="G176" s="28">
        <f>SUM(G165:G175)</f>
        <v>383341</v>
      </c>
      <c r="H176" s="42">
        <f>(+F176-G176)/G176</f>
        <v>-6.5096089382560174E-2</v>
      </c>
      <c r="I176" s="43">
        <f>K176/C176</f>
        <v>61.494796761153616</v>
      </c>
      <c r="J176" s="43">
        <f>K176/F176</f>
        <v>111.08432496156389</v>
      </c>
      <c r="K176" s="28">
        <f>SUM(K165:K175)</f>
        <v>39811177.969999999</v>
      </c>
      <c r="L176" s="28">
        <f>SUM(L165:L175)</f>
        <v>40349063.859999999</v>
      </c>
      <c r="M176" s="44">
        <f>(+K176-L176)/L176</f>
        <v>-1.3330814609883258E-2</v>
      </c>
      <c r="N176" s="10"/>
      <c r="R176" s="2"/>
    </row>
    <row r="177" spans="1:18" ht="16.5" thickTop="1" thickBot="1" x14ac:dyDescent="0.25">
      <c r="A177" s="63"/>
      <c r="B177" s="34"/>
      <c r="C177" s="35"/>
      <c r="D177" s="35"/>
      <c r="E177" s="29"/>
      <c r="F177" s="35"/>
      <c r="G177" s="35"/>
      <c r="H177" s="29"/>
      <c r="I177" s="36"/>
      <c r="J177" s="36"/>
      <c r="K177" s="35"/>
      <c r="L177" s="35"/>
      <c r="M177" s="37"/>
      <c r="N177" s="10"/>
      <c r="R177" s="2"/>
    </row>
    <row r="178" spans="1:18" ht="17.25" thickTop="1" thickBot="1" x14ac:dyDescent="0.3">
      <c r="A178" s="64" t="s">
        <v>18</v>
      </c>
      <c r="B178" s="65"/>
      <c r="C178" s="28">
        <f>C176+C163+C72+C98+C111+C46+C20+C124+C137+C59+C150+C33+C85</f>
        <v>24251433</v>
      </c>
      <c r="D178" s="28">
        <f>D176+D163+D72+D98+D111+D46+D20+D124+D137+D59+D150+D33+D85</f>
        <v>24999073</v>
      </c>
      <c r="E178" s="279">
        <f>(+C178-D178)/D178</f>
        <v>-2.9906708940767524E-2</v>
      </c>
      <c r="F178" s="28">
        <f>F176+F163+F72+F98+F111+F46+F20+F124+F137+F59+F150+F33+F85</f>
        <v>12312250</v>
      </c>
      <c r="G178" s="28">
        <f>G176+G163+G72+G98+G111+G46+G20+G124+G137+G59+G150+G33+G85</f>
        <v>12616481</v>
      </c>
      <c r="H178" s="30">
        <f>(+F178-G178)/G178</f>
        <v>-2.4113776258213364E-2</v>
      </c>
      <c r="I178" s="31">
        <f>K178/C178</f>
        <v>66.167364080299905</v>
      </c>
      <c r="J178" s="31">
        <f>K178/F178</f>
        <v>130.32982572478628</v>
      </c>
      <c r="K178" s="28">
        <f>K176+K163+K72+K98+K111+K46+K20+K124+K137+K59+K150+K33+K85</f>
        <v>1604653396.7799997</v>
      </c>
      <c r="L178" s="28">
        <f>L176+L163+L72+L98+L111+L46+L20+L124+L137+L59+L150+L33+L85</f>
        <v>1589537210.6299999</v>
      </c>
      <c r="M178" s="32">
        <f>(+K178-L178)/L178</f>
        <v>9.509803261547229E-3</v>
      </c>
      <c r="N178" s="10"/>
      <c r="R178" s="2"/>
    </row>
    <row r="179" spans="1:18" ht="17.25" thickTop="1" thickBot="1" x14ac:dyDescent="0.3">
      <c r="A179" s="64"/>
      <c r="B179" s="65"/>
      <c r="C179" s="28"/>
      <c r="D179" s="28"/>
      <c r="E179" s="29"/>
      <c r="F179" s="28"/>
      <c r="G179" s="28"/>
      <c r="H179" s="30"/>
      <c r="I179" s="31"/>
      <c r="J179" s="31"/>
      <c r="K179" s="28"/>
      <c r="L179" s="28"/>
      <c r="M179" s="32"/>
      <c r="N179" s="10"/>
      <c r="R179" s="2"/>
    </row>
    <row r="180" spans="1:18" ht="17.25" thickTop="1" thickBot="1" x14ac:dyDescent="0.3">
      <c r="A180" s="64" t="s">
        <v>19</v>
      </c>
      <c r="B180" s="65"/>
      <c r="C180" s="28">
        <f>+C18+C31+C44+C57+C70+C83+C96+C109+C122+C135+C148+C161+C174</f>
        <v>2438694</v>
      </c>
      <c r="D180" s="28">
        <f>+D18+D31+D44+D57+D70+D83+D96+D109+D122+D135+D148+D161+D174</f>
        <v>2584188</v>
      </c>
      <c r="E180" s="279">
        <f>(+C180-D180)/D180</f>
        <v>-5.6301631305462299E-2</v>
      </c>
      <c r="F180" s="28">
        <f>+F18+F31+F44+F57+F70+F83+F96+F109+F122+F135+F148+F161+F174</f>
        <v>1233133</v>
      </c>
      <c r="G180" s="28">
        <f>+G18+G31+G44+G57+G70+G83+G96+G109+G122+G135+G148+G161+G174</f>
        <v>1304373</v>
      </c>
      <c r="H180" s="30">
        <f>(+F180-G180)/G180</f>
        <v>-5.4616279239144021E-2</v>
      </c>
      <c r="I180" s="31">
        <f>K180/C180</f>
        <v>68.523140172567793</v>
      </c>
      <c r="J180" s="31">
        <f>K180/F180</f>
        <v>135.5141503795617</v>
      </c>
      <c r="K180" s="28">
        <f>+K18+K31+K44+K57+K70+K83+K96+K109+K122+K135+K148+K161+K174</f>
        <v>167106970.80000004</v>
      </c>
      <c r="L180" s="28">
        <f>+L18+L31+L44+L57+L70+L83+L96+L109+L122+L135+L148+L161+L174</f>
        <v>172249132.75000003</v>
      </c>
      <c r="M180" s="32">
        <f>(+K180-L180)/L180</f>
        <v>-2.9853049869709648E-2</v>
      </c>
      <c r="N180" s="10"/>
      <c r="R180" s="2"/>
    </row>
    <row r="181" spans="1:18" ht="15.75" thickTop="1" x14ac:dyDescent="0.2">
      <c r="A181" s="66"/>
      <c r="B181" s="67"/>
      <c r="C181" s="68"/>
      <c r="D181" s="67"/>
      <c r="E181" s="67"/>
      <c r="F181" s="67"/>
      <c r="G181" s="67"/>
      <c r="H181" s="67"/>
      <c r="I181" s="67"/>
      <c r="J181" s="67"/>
      <c r="K181" s="68"/>
      <c r="L181" s="68"/>
      <c r="M181" s="67"/>
      <c r="R181" s="2"/>
    </row>
    <row r="182" spans="1:18" ht="18.75" x14ac:dyDescent="0.3">
      <c r="A182" s="264" t="s">
        <v>20</v>
      </c>
      <c r="B182" s="70"/>
      <c r="C182" s="71"/>
      <c r="D182" s="71"/>
      <c r="E182" s="71"/>
      <c r="F182" s="71"/>
      <c r="G182" s="71"/>
      <c r="H182" s="71"/>
      <c r="I182" s="71"/>
      <c r="J182" s="71"/>
      <c r="K182" s="198"/>
      <c r="L182" s="198"/>
      <c r="M182" s="71"/>
      <c r="N182" s="2"/>
      <c r="O182" s="2"/>
      <c r="P182" s="2"/>
      <c r="Q182" s="2"/>
      <c r="R182" s="2"/>
    </row>
    <row r="183" spans="1:18" ht="18" x14ac:dyDescent="0.25">
      <c r="A183" s="69"/>
      <c r="B183" s="70"/>
      <c r="C183" s="71"/>
      <c r="D183" s="71"/>
      <c r="E183" s="71"/>
      <c r="F183" s="71"/>
      <c r="G183" s="71"/>
      <c r="H183" s="71"/>
      <c r="I183" s="71"/>
      <c r="J183" s="71"/>
      <c r="K183" s="198"/>
      <c r="L183" s="198"/>
      <c r="M183" s="71"/>
      <c r="N183" s="2"/>
      <c r="O183" s="2"/>
      <c r="P183" s="2"/>
      <c r="Q183" s="2"/>
      <c r="R183" s="2"/>
    </row>
    <row r="184" spans="1:18" ht="15.75" x14ac:dyDescent="0.25">
      <c r="A184" s="72"/>
      <c r="B184" s="73"/>
      <c r="C184" s="74"/>
      <c r="D184" s="74"/>
      <c r="E184" s="74"/>
      <c r="F184" s="74"/>
      <c r="G184" s="74"/>
      <c r="H184" s="74"/>
      <c r="I184" s="74"/>
      <c r="J184" s="74"/>
      <c r="K184" s="192"/>
      <c r="L184" s="192"/>
      <c r="M184" s="75"/>
      <c r="N184" s="2"/>
      <c r="O184" s="2"/>
      <c r="P184" s="2"/>
      <c r="Q184" s="2"/>
      <c r="R184" s="2"/>
    </row>
    <row r="185" spans="1:18" x14ac:dyDescent="0.2">
      <c r="A185" s="2"/>
      <c r="B185" s="73"/>
      <c r="C185" s="74"/>
      <c r="D185" s="74"/>
      <c r="E185" s="74"/>
      <c r="F185" s="74"/>
      <c r="G185" s="74"/>
      <c r="H185" s="74"/>
      <c r="I185" s="74"/>
      <c r="J185" s="74"/>
      <c r="K185" s="192"/>
      <c r="L185" s="192"/>
      <c r="M185" s="75"/>
      <c r="N185" s="2"/>
      <c r="O185" s="2"/>
      <c r="P185" s="2"/>
      <c r="Q185" s="2"/>
      <c r="R185" s="2"/>
    </row>
    <row r="186" spans="1:18" x14ac:dyDescent="0.2">
      <c r="A186" s="2"/>
      <c r="B186" s="73"/>
      <c r="C186" s="74"/>
      <c r="D186" s="74"/>
      <c r="E186" s="74"/>
      <c r="F186" s="74"/>
      <c r="G186" s="74"/>
      <c r="H186" s="74"/>
      <c r="I186" s="74"/>
      <c r="J186" s="74"/>
      <c r="K186" s="192"/>
      <c r="L186" s="192"/>
      <c r="M186" s="75"/>
      <c r="N186" s="2"/>
      <c r="O186" s="2"/>
      <c r="P186" s="2"/>
      <c r="Q186" s="2"/>
      <c r="R186" s="2"/>
    </row>
    <row r="187" spans="1:18" x14ac:dyDescent="0.2">
      <c r="A187" s="2"/>
      <c r="B187" s="73"/>
      <c r="C187" s="74"/>
      <c r="D187" s="74"/>
      <c r="E187" s="74"/>
      <c r="F187" s="74"/>
      <c r="G187" s="74"/>
      <c r="H187" s="74"/>
      <c r="I187" s="74"/>
      <c r="J187" s="74"/>
      <c r="K187" s="192"/>
      <c r="L187" s="192"/>
      <c r="M187" s="75"/>
      <c r="N187" s="2"/>
      <c r="O187" s="2"/>
      <c r="P187" s="2"/>
      <c r="Q187" s="2"/>
      <c r="R187" s="2"/>
    </row>
    <row r="188" spans="1:18" x14ac:dyDescent="0.2">
      <c r="A188" s="2"/>
      <c r="B188" s="73"/>
      <c r="C188" s="74"/>
      <c r="D188" s="74"/>
      <c r="E188" s="74"/>
      <c r="F188" s="74"/>
      <c r="G188" s="74"/>
      <c r="H188" s="74"/>
      <c r="I188" s="74"/>
      <c r="J188" s="74"/>
      <c r="K188" s="192"/>
      <c r="L188" s="192"/>
      <c r="M188" s="75"/>
      <c r="N188" s="2"/>
      <c r="O188" s="2"/>
      <c r="P188" s="2"/>
      <c r="Q188" s="2"/>
      <c r="R188" s="2"/>
    </row>
    <row r="189" spans="1:18" x14ac:dyDescent="0.2">
      <c r="A189" s="2"/>
      <c r="B189" s="73"/>
      <c r="C189" s="74"/>
      <c r="D189" s="74"/>
      <c r="E189" s="74"/>
      <c r="F189" s="74"/>
      <c r="G189" s="74"/>
      <c r="H189" s="74"/>
      <c r="I189" s="74"/>
      <c r="J189" s="74"/>
      <c r="K189" s="192"/>
      <c r="L189" s="192"/>
      <c r="M189" s="75"/>
      <c r="N189" s="2"/>
      <c r="O189" s="2"/>
      <c r="P189" s="2"/>
      <c r="Q189" s="2"/>
      <c r="R189" s="2"/>
    </row>
    <row r="190" spans="1:18" x14ac:dyDescent="0.2">
      <c r="A190" s="2"/>
      <c r="B190" s="73"/>
      <c r="C190" s="74"/>
      <c r="D190" s="74"/>
      <c r="E190" s="74"/>
      <c r="F190" s="74"/>
      <c r="G190" s="74"/>
      <c r="H190" s="74"/>
      <c r="I190" s="74"/>
      <c r="J190" s="74"/>
      <c r="K190" s="192"/>
      <c r="L190" s="192"/>
      <c r="M190" s="75"/>
      <c r="N190" s="2"/>
      <c r="O190" s="2"/>
      <c r="P190" s="2"/>
      <c r="Q190" s="2"/>
      <c r="R190" s="2"/>
    </row>
    <row r="191" spans="1:18" x14ac:dyDescent="0.2">
      <c r="A191" s="2"/>
      <c r="B191" s="73"/>
      <c r="C191" s="74"/>
      <c r="D191" s="74"/>
      <c r="E191" s="74"/>
      <c r="F191" s="74"/>
      <c r="G191" s="74"/>
      <c r="H191" s="74"/>
      <c r="I191" s="74"/>
      <c r="J191" s="74"/>
      <c r="K191" s="192"/>
      <c r="L191" s="192"/>
      <c r="M191" s="75"/>
      <c r="N191" s="2"/>
      <c r="O191" s="2"/>
      <c r="P191" s="2"/>
      <c r="Q191" s="2"/>
      <c r="R191" s="2"/>
    </row>
    <row r="192" spans="1:18" x14ac:dyDescent="0.2">
      <c r="A192" s="2"/>
      <c r="B192" s="73"/>
      <c r="C192" s="74"/>
      <c r="D192" s="74"/>
      <c r="E192" s="74"/>
      <c r="F192" s="74"/>
      <c r="G192" s="74"/>
      <c r="H192" s="74"/>
      <c r="I192" s="74"/>
      <c r="J192" s="74"/>
      <c r="K192" s="192"/>
      <c r="L192" s="192"/>
      <c r="M192" s="75"/>
      <c r="N192" s="2"/>
      <c r="O192" s="2"/>
      <c r="P192" s="2"/>
      <c r="Q192" s="2"/>
      <c r="R192" s="2"/>
    </row>
    <row r="193" spans="1:18" x14ac:dyDescent="0.2">
      <c r="A193" s="2"/>
      <c r="B193" s="73"/>
      <c r="C193" s="74"/>
      <c r="D193" s="74"/>
      <c r="E193" s="74"/>
      <c r="F193" s="74"/>
      <c r="G193" s="74"/>
      <c r="H193" s="74"/>
      <c r="I193" s="74"/>
      <c r="J193" s="74"/>
      <c r="K193" s="192"/>
      <c r="L193" s="192"/>
      <c r="M193" s="74"/>
      <c r="N193" s="2"/>
      <c r="O193" s="2"/>
      <c r="P193" s="2"/>
      <c r="Q193" s="2"/>
      <c r="R193" s="2"/>
    </row>
    <row r="194" spans="1:18" x14ac:dyDescent="0.2">
      <c r="A194" s="2"/>
      <c r="B194" s="73"/>
      <c r="C194" s="74"/>
      <c r="D194" s="74"/>
      <c r="E194" s="74"/>
      <c r="F194" s="74"/>
      <c r="G194" s="74"/>
      <c r="H194" s="74"/>
      <c r="I194" s="74"/>
      <c r="J194" s="74"/>
      <c r="K194" s="192"/>
      <c r="L194" s="192"/>
      <c r="M194" s="74"/>
      <c r="N194" s="2"/>
      <c r="O194" s="2"/>
      <c r="P194" s="2"/>
      <c r="Q194" s="2"/>
      <c r="R194" s="2"/>
    </row>
    <row r="195" spans="1:18" x14ac:dyDescent="0.2">
      <c r="A195" s="2"/>
      <c r="B195" s="70"/>
      <c r="C195" s="74"/>
      <c r="D195" s="74"/>
      <c r="E195" s="74"/>
      <c r="F195" s="74"/>
      <c r="G195" s="74"/>
      <c r="H195" s="74"/>
      <c r="I195" s="74"/>
      <c r="J195" s="74"/>
      <c r="K195" s="192"/>
      <c r="L195" s="192"/>
      <c r="M195" s="74"/>
      <c r="N195" s="2"/>
      <c r="O195" s="2"/>
      <c r="P195" s="2"/>
      <c r="Q195" s="2"/>
      <c r="R195" s="2"/>
    </row>
    <row r="196" spans="1:18" ht="15.75" x14ac:dyDescent="0.25">
      <c r="A196" s="76"/>
      <c r="B196" s="70"/>
      <c r="C196" s="74"/>
      <c r="D196" s="74"/>
      <c r="E196" s="74"/>
      <c r="F196" s="74"/>
      <c r="G196" s="74"/>
      <c r="H196" s="74"/>
      <c r="I196" s="74"/>
      <c r="J196" s="74"/>
      <c r="K196" s="192"/>
      <c r="L196" s="192"/>
      <c r="M196" s="75"/>
      <c r="N196" s="2"/>
      <c r="O196" s="2"/>
      <c r="P196" s="2"/>
      <c r="Q196" s="2"/>
      <c r="R196" s="2"/>
    </row>
    <row r="197" spans="1:18" ht="15.75" x14ac:dyDescent="0.25">
      <c r="A197" s="76"/>
      <c r="B197" s="70"/>
      <c r="C197" s="74"/>
      <c r="D197" s="74"/>
      <c r="E197" s="74"/>
      <c r="F197" s="74"/>
      <c r="G197" s="74"/>
      <c r="H197" s="74"/>
      <c r="I197" s="74"/>
      <c r="J197" s="74"/>
      <c r="K197" s="192"/>
      <c r="L197" s="192"/>
      <c r="M197" s="75"/>
      <c r="N197" s="2"/>
      <c r="O197" s="2"/>
      <c r="P197" s="2"/>
      <c r="Q197" s="2"/>
      <c r="R197" s="2"/>
    </row>
    <row r="198" spans="1:18" ht="15.75" x14ac:dyDescent="0.25">
      <c r="A198" s="76"/>
      <c r="B198" s="70"/>
      <c r="C198" s="74"/>
      <c r="D198" s="74"/>
      <c r="E198" s="74"/>
      <c r="F198" s="74"/>
      <c r="G198" s="74"/>
      <c r="H198" s="74"/>
      <c r="I198" s="74"/>
      <c r="J198" s="74"/>
      <c r="K198" s="192"/>
      <c r="L198" s="192"/>
      <c r="M198" s="75"/>
      <c r="N198" s="2"/>
      <c r="O198" s="2"/>
      <c r="P198" s="2"/>
      <c r="Q198" s="2"/>
      <c r="R198" s="2"/>
    </row>
    <row r="199" spans="1:18" x14ac:dyDescent="0.2">
      <c r="A199" s="2"/>
      <c r="B199" s="70"/>
      <c r="C199" s="74"/>
      <c r="D199" s="74"/>
      <c r="E199" s="74"/>
      <c r="F199" s="74"/>
      <c r="G199" s="74"/>
      <c r="H199" s="74"/>
      <c r="I199" s="74"/>
      <c r="J199" s="74"/>
      <c r="K199" s="192"/>
      <c r="L199" s="192"/>
      <c r="M199" s="75"/>
      <c r="N199" s="2"/>
      <c r="O199" s="2"/>
      <c r="P199" s="2"/>
      <c r="Q199" s="2"/>
      <c r="R199" s="2"/>
    </row>
    <row r="200" spans="1:18" ht="15.75" x14ac:dyDescent="0.25">
      <c r="A200" s="76"/>
      <c r="B200" s="73"/>
      <c r="C200" s="74"/>
      <c r="D200" s="74"/>
      <c r="E200" s="74"/>
      <c r="F200" s="74"/>
      <c r="G200" s="74"/>
      <c r="H200" s="74"/>
      <c r="I200" s="74"/>
      <c r="J200" s="74"/>
      <c r="K200" s="192"/>
      <c r="L200" s="192"/>
      <c r="M200" s="75"/>
      <c r="N200" s="2"/>
      <c r="O200" s="2"/>
      <c r="P200" s="2"/>
      <c r="Q200" s="2"/>
      <c r="R200" s="2"/>
    </row>
    <row r="201" spans="1:18" x14ac:dyDescent="0.2">
      <c r="A201" s="2"/>
      <c r="B201" s="73"/>
      <c r="C201" s="74"/>
      <c r="D201" s="74"/>
      <c r="E201" s="74"/>
      <c r="F201" s="74"/>
      <c r="G201" s="74"/>
      <c r="H201" s="74"/>
      <c r="I201" s="74"/>
      <c r="J201" s="74"/>
      <c r="K201" s="192"/>
      <c r="L201" s="192"/>
      <c r="M201" s="75"/>
      <c r="N201" s="2"/>
      <c r="O201" s="2"/>
      <c r="P201" s="2"/>
      <c r="Q201" s="2"/>
      <c r="R201" s="2"/>
    </row>
    <row r="202" spans="1:18" x14ac:dyDescent="0.2">
      <c r="A202" s="2"/>
      <c r="B202" s="73"/>
      <c r="C202" s="74"/>
      <c r="D202" s="74"/>
      <c r="E202" s="74"/>
      <c r="F202" s="74"/>
      <c r="G202" s="74"/>
      <c r="H202" s="74"/>
      <c r="I202" s="74"/>
      <c r="J202" s="74"/>
      <c r="K202" s="192"/>
      <c r="L202" s="192"/>
      <c r="M202" s="75"/>
      <c r="N202" s="2"/>
      <c r="O202" s="2"/>
      <c r="P202" s="2"/>
      <c r="Q202" s="2"/>
      <c r="R202" s="2"/>
    </row>
    <row r="203" spans="1:18" x14ac:dyDescent="0.2">
      <c r="A203" s="2"/>
      <c r="B203" s="77"/>
      <c r="C203" s="74"/>
      <c r="D203" s="74"/>
      <c r="E203" s="74"/>
      <c r="F203" s="74"/>
      <c r="G203" s="74"/>
      <c r="H203" s="74"/>
      <c r="I203" s="74"/>
      <c r="J203" s="74"/>
      <c r="K203" s="192"/>
      <c r="L203" s="192"/>
      <c r="M203" s="75"/>
      <c r="N203" s="2"/>
      <c r="O203" s="2"/>
      <c r="P203" s="2"/>
      <c r="Q203" s="2"/>
      <c r="R203" s="2"/>
    </row>
    <row r="204" spans="1:18" x14ac:dyDescent="0.2">
      <c r="A204" s="2"/>
      <c r="B204" s="77"/>
      <c r="C204" s="74"/>
      <c r="D204" s="74"/>
      <c r="E204" s="74"/>
      <c r="F204" s="74"/>
      <c r="G204" s="74"/>
      <c r="H204" s="74"/>
      <c r="I204" s="74"/>
      <c r="J204" s="74"/>
      <c r="K204" s="192"/>
      <c r="L204" s="192"/>
      <c r="M204" s="75"/>
      <c r="N204" s="2"/>
      <c r="O204" s="2"/>
      <c r="P204" s="2"/>
      <c r="Q204" s="2"/>
      <c r="R204" s="2"/>
    </row>
    <row r="205" spans="1:18" x14ac:dyDescent="0.2">
      <c r="A205" s="2"/>
      <c r="B205" s="77"/>
      <c r="C205" s="74"/>
      <c r="D205" s="74"/>
      <c r="E205" s="74"/>
      <c r="F205" s="74"/>
      <c r="G205" s="74"/>
      <c r="H205" s="74"/>
      <c r="I205" s="74"/>
      <c r="J205" s="74"/>
      <c r="K205" s="192"/>
      <c r="L205" s="192"/>
      <c r="M205" s="75"/>
      <c r="N205" s="2"/>
      <c r="O205" s="2"/>
      <c r="P205" s="2"/>
      <c r="Q205" s="2"/>
      <c r="R205" s="2"/>
    </row>
    <row r="206" spans="1:18" x14ac:dyDescent="0.2">
      <c r="A206" s="2"/>
      <c r="B206" s="77"/>
      <c r="C206" s="74"/>
      <c r="D206" s="74"/>
      <c r="E206" s="74"/>
      <c r="F206" s="74"/>
      <c r="G206" s="74"/>
      <c r="H206" s="74"/>
      <c r="I206" s="74"/>
      <c r="J206" s="74"/>
      <c r="K206" s="192"/>
      <c r="L206" s="192"/>
      <c r="M206" s="75"/>
      <c r="N206" s="2"/>
      <c r="O206" s="2"/>
      <c r="P206" s="2"/>
      <c r="Q206" s="2"/>
      <c r="R206" s="2"/>
    </row>
    <row r="207" spans="1:18" x14ac:dyDescent="0.2">
      <c r="A207" s="2"/>
      <c r="B207" s="77"/>
      <c r="C207" s="74"/>
      <c r="D207" s="74"/>
      <c r="E207" s="74"/>
      <c r="F207" s="74"/>
      <c r="G207" s="74"/>
      <c r="H207" s="74"/>
      <c r="I207" s="74"/>
      <c r="J207" s="74"/>
      <c r="K207" s="192"/>
      <c r="L207" s="192"/>
      <c r="M207" s="75"/>
      <c r="N207" s="2"/>
      <c r="O207" s="2"/>
      <c r="P207" s="2"/>
      <c r="Q207" s="2"/>
      <c r="R207" s="2"/>
    </row>
    <row r="208" spans="1:18" x14ac:dyDescent="0.2">
      <c r="A208" s="2"/>
      <c r="B208" s="77"/>
      <c r="C208" s="74"/>
      <c r="D208" s="74"/>
      <c r="E208" s="74"/>
      <c r="F208" s="74"/>
      <c r="G208" s="74"/>
      <c r="H208" s="74"/>
      <c r="I208" s="74"/>
      <c r="J208" s="74"/>
      <c r="K208" s="192"/>
      <c r="L208" s="192"/>
      <c r="M208" s="75"/>
      <c r="N208" s="2"/>
      <c r="O208" s="2"/>
      <c r="P208" s="2"/>
      <c r="Q208" s="2"/>
      <c r="R208" s="2"/>
    </row>
    <row r="209" spans="1:18" x14ac:dyDescent="0.2">
      <c r="A209" s="2"/>
      <c r="B209" s="77"/>
      <c r="C209" s="74"/>
      <c r="D209" s="74"/>
      <c r="E209" s="74"/>
      <c r="F209" s="74"/>
      <c r="G209" s="74"/>
      <c r="H209" s="74"/>
      <c r="I209" s="74"/>
      <c r="J209" s="74"/>
      <c r="K209" s="192"/>
      <c r="L209" s="192"/>
      <c r="M209" s="75"/>
      <c r="N209" s="2"/>
      <c r="O209" s="2"/>
      <c r="P209" s="2"/>
      <c r="Q209" s="2"/>
      <c r="R209" s="2"/>
    </row>
    <row r="210" spans="1:18" x14ac:dyDescent="0.2">
      <c r="A210" s="2"/>
      <c r="B210" s="77"/>
      <c r="C210" s="74"/>
      <c r="D210" s="74"/>
      <c r="E210" s="74"/>
      <c r="F210" s="74"/>
      <c r="G210" s="74"/>
      <c r="H210" s="74"/>
      <c r="I210" s="74"/>
      <c r="J210" s="74"/>
      <c r="K210" s="192"/>
      <c r="L210" s="192"/>
      <c r="M210" s="75"/>
      <c r="N210" s="2"/>
      <c r="O210" s="2"/>
      <c r="P210" s="2"/>
      <c r="Q210" s="2"/>
      <c r="R210" s="2"/>
    </row>
    <row r="211" spans="1:18" x14ac:dyDescent="0.2">
      <c r="A211" s="2"/>
      <c r="B211" s="77"/>
      <c r="C211" s="74"/>
      <c r="D211" s="74"/>
      <c r="E211" s="74"/>
      <c r="F211" s="74"/>
      <c r="G211" s="74"/>
      <c r="H211" s="74"/>
      <c r="I211" s="74"/>
      <c r="J211" s="74"/>
      <c r="K211" s="192"/>
      <c r="L211" s="192"/>
      <c r="M211" s="75"/>
      <c r="N211" s="2"/>
      <c r="O211" s="2"/>
      <c r="P211" s="2"/>
      <c r="Q211" s="2"/>
      <c r="R211" s="2"/>
    </row>
    <row r="212" spans="1:18" x14ac:dyDescent="0.2">
      <c r="A212" s="2"/>
      <c r="B212" s="2"/>
      <c r="C212" s="74"/>
      <c r="D212" s="74"/>
      <c r="E212" s="74"/>
      <c r="F212" s="74"/>
      <c r="G212" s="74"/>
      <c r="H212" s="74"/>
      <c r="I212" s="74"/>
      <c r="J212" s="74"/>
      <c r="K212" s="192"/>
      <c r="L212" s="192"/>
      <c r="M212" s="75"/>
      <c r="N212" s="2"/>
      <c r="O212" s="2"/>
      <c r="P212" s="2"/>
      <c r="Q212" s="2"/>
      <c r="R212" s="2"/>
    </row>
    <row r="213" spans="1:18" ht="15.75" x14ac:dyDescent="0.25">
      <c r="A213" s="76"/>
      <c r="B213" s="2"/>
      <c r="C213" s="74"/>
      <c r="D213" s="74"/>
      <c r="E213" s="74"/>
      <c r="F213" s="74"/>
      <c r="G213" s="74"/>
      <c r="H213" s="74"/>
      <c r="I213" s="74"/>
      <c r="J213" s="74"/>
      <c r="K213" s="192"/>
      <c r="L213" s="192"/>
      <c r="M213" s="75"/>
      <c r="N213" s="2"/>
      <c r="O213" s="2"/>
      <c r="P213" s="2"/>
      <c r="Q213" s="2"/>
      <c r="R213" s="2"/>
    </row>
    <row r="214" spans="1:18" x14ac:dyDescent="0.2">
      <c r="A214" s="2"/>
      <c r="B214" s="2"/>
      <c r="C214" s="74"/>
      <c r="D214" s="74"/>
      <c r="E214" s="74"/>
      <c r="F214" s="74"/>
      <c r="G214" s="74"/>
      <c r="H214" s="74"/>
      <c r="I214" s="74"/>
      <c r="J214" s="74"/>
      <c r="K214" s="192"/>
      <c r="L214" s="192"/>
      <c r="M214" s="75"/>
      <c r="N214" s="2"/>
      <c r="O214" s="2"/>
      <c r="P214" s="2"/>
      <c r="Q214" s="2"/>
      <c r="R214" s="2"/>
    </row>
    <row r="215" spans="1:18" x14ac:dyDescent="0.2">
      <c r="A215" s="2"/>
      <c r="B215" s="2"/>
      <c r="C215" s="74"/>
      <c r="D215" s="74"/>
      <c r="E215" s="74"/>
      <c r="F215" s="74"/>
      <c r="G215" s="74"/>
      <c r="H215" s="74"/>
      <c r="I215" s="74"/>
      <c r="J215" s="74"/>
      <c r="K215" s="192"/>
      <c r="L215" s="192"/>
      <c r="M215" s="75"/>
      <c r="N215" s="2"/>
      <c r="O215" s="2"/>
      <c r="P215" s="2"/>
      <c r="Q215" s="2"/>
      <c r="R215" s="2"/>
    </row>
    <row r="216" spans="1:18" ht="15.75" x14ac:dyDescent="0.25">
      <c r="A216" s="76"/>
      <c r="B216" s="2"/>
      <c r="C216" s="74"/>
      <c r="D216" s="74"/>
      <c r="E216" s="74"/>
      <c r="F216" s="74"/>
      <c r="G216" s="74"/>
      <c r="H216" s="74"/>
      <c r="I216" s="74"/>
      <c r="J216" s="74"/>
      <c r="K216" s="192"/>
      <c r="L216" s="192"/>
      <c r="M216" s="75"/>
      <c r="N216" s="2"/>
      <c r="O216" s="2"/>
      <c r="P216" s="2"/>
      <c r="Q216" s="2"/>
      <c r="R216" s="2"/>
    </row>
    <row r="217" spans="1:18" ht="15.75" x14ac:dyDescent="0.25">
      <c r="A217" s="76"/>
      <c r="B217" s="2"/>
      <c r="C217" s="74"/>
      <c r="D217" s="74"/>
      <c r="E217" s="74"/>
      <c r="F217" s="74"/>
      <c r="G217" s="74"/>
      <c r="H217" s="74"/>
      <c r="I217" s="74"/>
      <c r="J217" s="74"/>
      <c r="K217" s="192"/>
      <c r="L217" s="192"/>
      <c r="M217" s="75"/>
      <c r="N217" s="2"/>
      <c r="O217" s="2"/>
      <c r="P217" s="2"/>
      <c r="Q217" s="2"/>
      <c r="R217" s="2"/>
    </row>
    <row r="218" spans="1:18" ht="15.75" x14ac:dyDescent="0.25">
      <c r="A218" s="76"/>
      <c r="B218" s="77"/>
      <c r="C218" s="74"/>
      <c r="D218" s="74"/>
      <c r="E218" s="74"/>
      <c r="F218" s="74"/>
      <c r="G218" s="74"/>
      <c r="H218" s="74"/>
      <c r="I218" s="74"/>
      <c r="J218" s="74"/>
      <c r="K218" s="192"/>
      <c r="L218" s="192"/>
      <c r="M218" s="75"/>
      <c r="N218" s="2"/>
      <c r="O218" s="2"/>
      <c r="P218" s="2"/>
      <c r="Q218" s="2"/>
      <c r="R218" s="2"/>
    </row>
    <row r="219" spans="1:18" x14ac:dyDescent="0.2">
      <c r="A219" s="2"/>
      <c r="B219" s="77"/>
      <c r="C219" s="74"/>
      <c r="D219" s="74"/>
      <c r="E219" s="74"/>
      <c r="F219" s="74"/>
      <c r="G219" s="74"/>
      <c r="H219" s="74"/>
      <c r="I219" s="74"/>
      <c r="J219" s="74"/>
      <c r="K219" s="192"/>
      <c r="L219" s="192"/>
      <c r="M219" s="75"/>
      <c r="N219" s="2"/>
      <c r="O219" s="2"/>
      <c r="P219" s="2"/>
      <c r="Q219" s="2"/>
      <c r="R219" s="2"/>
    </row>
    <row r="220" spans="1:18" x14ac:dyDescent="0.2">
      <c r="A220" s="2"/>
      <c r="B220" s="77"/>
      <c r="C220" s="74"/>
      <c r="D220" s="74"/>
      <c r="E220" s="74"/>
      <c r="F220" s="74"/>
      <c r="G220" s="74"/>
      <c r="H220" s="74"/>
      <c r="I220" s="74"/>
      <c r="J220" s="74"/>
      <c r="K220" s="192"/>
      <c r="L220" s="192"/>
      <c r="M220" s="75"/>
      <c r="N220" s="2"/>
      <c r="O220" s="2"/>
      <c r="P220" s="2"/>
      <c r="Q220" s="2"/>
      <c r="R220" s="2"/>
    </row>
    <row r="221" spans="1:18" x14ac:dyDescent="0.2">
      <c r="A221" s="2"/>
      <c r="B221" s="77"/>
      <c r="C221" s="74"/>
      <c r="D221" s="74"/>
      <c r="E221" s="74"/>
      <c r="F221" s="74"/>
      <c r="G221" s="74"/>
      <c r="H221" s="74"/>
      <c r="I221" s="74"/>
      <c r="J221" s="74"/>
      <c r="K221" s="192"/>
      <c r="L221" s="192"/>
      <c r="M221" s="75"/>
      <c r="N221" s="2"/>
      <c r="O221" s="2"/>
      <c r="P221" s="2"/>
      <c r="Q221" s="2"/>
      <c r="R221" s="2"/>
    </row>
    <row r="222" spans="1:18" x14ac:dyDescent="0.2">
      <c r="A222" s="2"/>
      <c r="B222" s="77"/>
      <c r="C222" s="74"/>
      <c r="D222" s="74"/>
      <c r="E222" s="74"/>
      <c r="F222" s="74"/>
      <c r="G222" s="74"/>
      <c r="H222" s="74"/>
      <c r="I222" s="74"/>
      <c r="J222" s="74"/>
      <c r="K222" s="192"/>
      <c r="L222" s="192"/>
      <c r="M222" s="75"/>
      <c r="N222" s="2"/>
      <c r="O222" s="2"/>
      <c r="P222" s="2"/>
      <c r="Q222" s="2"/>
      <c r="R222" s="2"/>
    </row>
    <row r="223" spans="1:18" x14ac:dyDescent="0.2">
      <c r="A223" s="2"/>
      <c r="B223" s="77"/>
      <c r="C223" s="74"/>
      <c r="D223" s="74"/>
      <c r="E223" s="74"/>
      <c r="F223" s="74"/>
      <c r="G223" s="74"/>
      <c r="H223" s="74"/>
      <c r="I223" s="74"/>
      <c r="J223" s="74"/>
      <c r="K223" s="192"/>
      <c r="L223" s="192"/>
      <c r="M223" s="75"/>
      <c r="N223" s="2"/>
      <c r="O223" s="2"/>
      <c r="P223" s="2"/>
      <c r="Q223" s="2"/>
      <c r="R223" s="2"/>
    </row>
    <row r="224" spans="1:18" x14ac:dyDescent="0.2">
      <c r="A224" s="2"/>
      <c r="B224" s="77"/>
      <c r="C224" s="74"/>
      <c r="D224" s="74"/>
      <c r="E224" s="74"/>
      <c r="F224" s="74"/>
      <c r="G224" s="74"/>
      <c r="H224" s="74"/>
      <c r="I224" s="74"/>
      <c r="J224" s="74"/>
      <c r="K224" s="192"/>
      <c r="L224" s="192"/>
      <c r="M224" s="75"/>
      <c r="N224" s="2"/>
      <c r="O224" s="2"/>
      <c r="P224" s="2"/>
      <c r="Q224" s="2"/>
      <c r="R224" s="2"/>
    </row>
    <row r="225" spans="1:18" x14ac:dyDescent="0.2">
      <c r="A225" s="2"/>
      <c r="B225" s="77"/>
      <c r="C225" s="74"/>
      <c r="D225" s="74"/>
      <c r="E225" s="74"/>
      <c r="F225" s="74"/>
      <c r="G225" s="74"/>
      <c r="H225" s="74"/>
      <c r="I225" s="74"/>
      <c r="J225" s="74"/>
      <c r="K225" s="192"/>
      <c r="L225" s="192"/>
      <c r="M225" s="75"/>
      <c r="N225" s="2"/>
      <c r="O225" s="2"/>
      <c r="P225" s="2"/>
      <c r="Q225" s="2"/>
      <c r="R225" s="2"/>
    </row>
    <row r="226" spans="1:18" x14ac:dyDescent="0.2">
      <c r="A226" s="2"/>
      <c r="B226" s="77"/>
      <c r="C226" s="74"/>
      <c r="D226" s="74"/>
      <c r="E226" s="74"/>
      <c r="F226" s="74"/>
      <c r="G226" s="74"/>
      <c r="H226" s="74"/>
      <c r="I226" s="74"/>
      <c r="J226" s="74"/>
      <c r="K226" s="192"/>
      <c r="L226" s="192"/>
      <c r="M226" s="75"/>
      <c r="N226" s="2"/>
      <c r="O226" s="2"/>
      <c r="P226" s="2"/>
      <c r="Q226" s="2"/>
      <c r="R226" s="2"/>
    </row>
    <row r="227" spans="1:18" x14ac:dyDescent="0.2">
      <c r="A227" s="2"/>
      <c r="B227" s="77"/>
      <c r="C227" s="74"/>
      <c r="D227" s="74"/>
      <c r="E227" s="74"/>
      <c r="F227" s="74"/>
      <c r="G227" s="74"/>
      <c r="H227" s="74"/>
      <c r="I227" s="74"/>
      <c r="J227" s="74"/>
      <c r="K227" s="192"/>
      <c r="L227" s="192"/>
      <c r="M227" s="75"/>
      <c r="N227" s="2"/>
      <c r="O227" s="2"/>
      <c r="P227" s="2"/>
      <c r="Q227" s="2"/>
      <c r="R227" s="2"/>
    </row>
    <row r="228" spans="1:18" x14ac:dyDescent="0.2">
      <c r="A228" s="2"/>
      <c r="B228" s="77"/>
      <c r="C228" s="74"/>
      <c r="D228" s="74"/>
      <c r="E228" s="74"/>
      <c r="F228" s="74"/>
      <c r="G228" s="74"/>
      <c r="H228" s="74"/>
      <c r="I228" s="74"/>
      <c r="J228" s="74"/>
      <c r="K228" s="192"/>
      <c r="L228" s="192"/>
      <c r="M228" s="75"/>
      <c r="N228" s="2"/>
      <c r="O228" s="2"/>
      <c r="P228" s="2"/>
      <c r="Q228" s="2"/>
      <c r="R228" s="2"/>
    </row>
    <row r="229" spans="1:18" x14ac:dyDescent="0.2">
      <c r="A229" s="2"/>
      <c r="B229" s="77"/>
      <c r="C229" s="74"/>
      <c r="D229" s="74"/>
      <c r="E229" s="74"/>
      <c r="F229" s="74"/>
      <c r="G229" s="74"/>
      <c r="H229" s="74"/>
      <c r="I229" s="74"/>
      <c r="J229" s="74"/>
      <c r="K229" s="192"/>
      <c r="L229" s="192"/>
      <c r="M229" s="75"/>
      <c r="N229" s="2"/>
      <c r="O229" s="2"/>
      <c r="P229" s="2"/>
      <c r="Q229" s="2"/>
      <c r="R229" s="2"/>
    </row>
    <row r="230" spans="1:18" x14ac:dyDescent="0.2">
      <c r="A230" s="2"/>
      <c r="B230" s="2"/>
      <c r="C230" s="74"/>
      <c r="D230" s="74"/>
      <c r="E230" s="74"/>
      <c r="F230" s="74"/>
      <c r="G230" s="74"/>
      <c r="H230" s="74"/>
      <c r="I230" s="74"/>
      <c r="J230" s="74"/>
      <c r="K230" s="192"/>
      <c r="L230" s="192"/>
      <c r="M230" s="75"/>
      <c r="N230" s="2"/>
      <c r="O230" s="2"/>
      <c r="P230" s="2"/>
      <c r="Q230" s="2"/>
      <c r="R230" s="2"/>
    </row>
    <row r="231" spans="1:18" ht="15.75" x14ac:dyDescent="0.25">
      <c r="A231" s="76"/>
      <c r="B231" s="2"/>
      <c r="C231" s="74"/>
      <c r="D231" s="74"/>
      <c r="E231" s="74"/>
      <c r="F231" s="74"/>
      <c r="G231" s="74"/>
      <c r="H231" s="74"/>
      <c r="I231" s="74"/>
      <c r="J231" s="74"/>
      <c r="K231" s="192"/>
      <c r="L231" s="192"/>
      <c r="M231" s="75"/>
      <c r="N231" s="2"/>
      <c r="O231" s="2"/>
      <c r="P231" s="2"/>
      <c r="Q231" s="2"/>
      <c r="R231" s="2"/>
    </row>
    <row r="232" spans="1:18" x14ac:dyDescent="0.2">
      <c r="A232" s="2"/>
      <c r="B232" s="2"/>
      <c r="C232" s="74"/>
      <c r="D232" s="74"/>
      <c r="E232" s="74"/>
      <c r="F232" s="74"/>
      <c r="G232" s="74"/>
      <c r="H232" s="74"/>
      <c r="I232" s="74"/>
      <c r="J232" s="74"/>
      <c r="K232" s="192"/>
      <c r="L232" s="192"/>
      <c r="M232" s="75"/>
      <c r="N232" s="2"/>
      <c r="O232" s="2"/>
      <c r="P232" s="2"/>
      <c r="Q232" s="2"/>
      <c r="R232" s="2"/>
    </row>
    <row r="233" spans="1:18" x14ac:dyDescent="0.2">
      <c r="A233" s="2"/>
      <c r="B233" s="2"/>
      <c r="C233" s="74"/>
      <c r="D233" s="74"/>
      <c r="E233" s="74"/>
      <c r="F233" s="74"/>
      <c r="G233" s="74"/>
      <c r="H233" s="74"/>
      <c r="I233" s="74"/>
      <c r="J233" s="74"/>
      <c r="K233" s="192"/>
      <c r="L233" s="192"/>
      <c r="M233" s="75"/>
      <c r="N233" s="2"/>
      <c r="O233" s="2"/>
      <c r="P233" s="2"/>
      <c r="Q233" s="2"/>
      <c r="R233" s="2"/>
    </row>
    <row r="234" spans="1:18" ht="15.75" x14ac:dyDescent="0.25">
      <c r="A234" s="76"/>
      <c r="B234" s="77"/>
      <c r="C234" s="74"/>
      <c r="D234" s="74"/>
      <c r="E234" s="74"/>
      <c r="F234" s="74"/>
      <c r="G234" s="74"/>
      <c r="H234" s="74"/>
      <c r="I234" s="74"/>
      <c r="J234" s="74"/>
      <c r="K234" s="192"/>
      <c r="L234" s="192"/>
      <c r="M234" s="75"/>
      <c r="N234" s="2"/>
      <c r="O234" s="2"/>
      <c r="P234" s="2"/>
      <c r="Q234" s="2"/>
      <c r="R234" s="2"/>
    </row>
    <row r="235" spans="1:18" x14ac:dyDescent="0.2">
      <c r="A235" s="2"/>
      <c r="B235" s="77"/>
      <c r="C235" s="74"/>
      <c r="D235" s="74"/>
      <c r="E235" s="74"/>
      <c r="F235" s="74"/>
      <c r="G235" s="74"/>
      <c r="H235" s="74"/>
      <c r="I235" s="74"/>
      <c r="J235" s="74"/>
      <c r="K235" s="192"/>
      <c r="L235" s="192"/>
      <c r="M235" s="75"/>
      <c r="N235" s="2"/>
      <c r="O235" s="2"/>
      <c r="P235" s="2"/>
      <c r="Q235" s="2"/>
      <c r="R235" s="2"/>
    </row>
    <row r="236" spans="1:18" x14ac:dyDescent="0.2">
      <c r="A236" s="2"/>
      <c r="B236" s="77"/>
      <c r="C236" s="74"/>
      <c r="D236" s="74"/>
      <c r="E236" s="74"/>
      <c r="F236" s="74"/>
      <c r="G236" s="74"/>
      <c r="H236" s="74"/>
      <c r="I236" s="74"/>
      <c r="J236" s="74"/>
      <c r="K236" s="192"/>
      <c r="L236" s="192"/>
      <c r="M236" s="75"/>
      <c r="N236" s="2"/>
      <c r="O236" s="2"/>
      <c r="P236" s="2"/>
      <c r="Q236" s="2"/>
      <c r="R236" s="2"/>
    </row>
    <row r="237" spans="1:18" x14ac:dyDescent="0.2">
      <c r="A237" s="2"/>
      <c r="B237" s="2"/>
      <c r="C237" s="74"/>
      <c r="D237" s="74"/>
      <c r="E237" s="74"/>
      <c r="F237" s="74"/>
      <c r="G237" s="74"/>
      <c r="H237" s="74"/>
      <c r="I237" s="74"/>
      <c r="J237" s="74"/>
      <c r="K237" s="192"/>
      <c r="L237" s="192"/>
      <c r="M237" s="75"/>
      <c r="N237" s="2"/>
      <c r="O237" s="2"/>
      <c r="P237" s="2"/>
      <c r="Q237" s="2"/>
      <c r="R237" s="2"/>
    </row>
    <row r="238" spans="1:18" x14ac:dyDescent="0.2">
      <c r="A238" s="2"/>
      <c r="B238" s="2"/>
      <c r="C238" s="74"/>
      <c r="D238" s="74"/>
      <c r="E238" s="74"/>
      <c r="F238" s="74"/>
      <c r="G238" s="74"/>
      <c r="H238" s="74"/>
      <c r="I238" s="74"/>
      <c r="J238" s="74"/>
      <c r="K238" s="192"/>
      <c r="L238" s="192"/>
      <c r="M238" s="75"/>
      <c r="N238" s="2"/>
      <c r="O238" s="2"/>
      <c r="P238" s="2"/>
      <c r="Q238" s="2"/>
      <c r="R238" s="2"/>
    </row>
    <row r="239" spans="1:18" x14ac:dyDescent="0.2">
      <c r="A239" s="2"/>
      <c r="B239" s="2"/>
      <c r="C239" s="74"/>
      <c r="D239" s="74"/>
      <c r="E239" s="74"/>
      <c r="F239" s="74"/>
      <c r="G239" s="74"/>
      <c r="H239" s="74"/>
      <c r="I239" s="74"/>
      <c r="J239" s="74"/>
      <c r="K239" s="192"/>
      <c r="L239" s="192"/>
      <c r="M239" s="75"/>
      <c r="N239" s="2"/>
      <c r="O239" s="2"/>
      <c r="P239" s="2"/>
      <c r="Q239" s="2"/>
      <c r="R239" s="2"/>
    </row>
    <row r="240" spans="1:18" ht="15.75" x14ac:dyDescent="0.25">
      <c r="A240" s="76"/>
      <c r="B240" s="2"/>
      <c r="C240" s="74"/>
      <c r="D240" s="74"/>
      <c r="E240" s="74"/>
      <c r="F240" s="74"/>
      <c r="G240" s="74"/>
      <c r="H240" s="74"/>
      <c r="I240" s="74"/>
      <c r="J240" s="74"/>
      <c r="K240" s="192"/>
      <c r="L240" s="192"/>
      <c r="M240" s="75"/>
      <c r="N240" s="2"/>
      <c r="O240" s="2"/>
      <c r="P240" s="2"/>
      <c r="Q240" s="2"/>
      <c r="R240" s="2"/>
    </row>
    <row r="241" spans="1:18" x14ac:dyDescent="0.2">
      <c r="A241" s="2"/>
      <c r="B241" s="2"/>
      <c r="C241" s="74"/>
      <c r="D241" s="74"/>
      <c r="E241" s="74"/>
      <c r="F241" s="74"/>
      <c r="G241" s="74"/>
      <c r="H241" s="74"/>
      <c r="I241" s="74"/>
      <c r="J241" s="74"/>
      <c r="K241" s="192"/>
      <c r="L241" s="192"/>
      <c r="M241" s="75"/>
      <c r="N241" s="2"/>
      <c r="O241" s="2"/>
      <c r="P241" s="2"/>
      <c r="Q241" s="2"/>
      <c r="R241" s="2"/>
    </row>
    <row r="242" spans="1:18" x14ac:dyDescent="0.2">
      <c r="A242" s="2"/>
      <c r="B242" s="2"/>
      <c r="C242" s="74"/>
      <c r="D242" s="74"/>
      <c r="E242" s="74"/>
      <c r="F242" s="74"/>
      <c r="G242" s="74"/>
      <c r="H242" s="74"/>
      <c r="I242" s="74"/>
      <c r="J242" s="74"/>
      <c r="K242" s="192"/>
      <c r="L242" s="192"/>
      <c r="M242" s="75"/>
      <c r="N242" s="2"/>
      <c r="O242" s="2"/>
      <c r="P242" s="2"/>
      <c r="Q242" s="2"/>
      <c r="R242" s="2"/>
    </row>
    <row r="243" spans="1:18" ht="15.75" x14ac:dyDescent="0.25">
      <c r="A243" s="76"/>
      <c r="B243" s="76"/>
      <c r="C243" s="74"/>
      <c r="D243" s="74"/>
      <c r="E243" s="74"/>
      <c r="F243" s="74"/>
      <c r="G243" s="74"/>
      <c r="H243" s="74"/>
      <c r="I243" s="74"/>
      <c r="J243" s="74"/>
      <c r="K243" s="192"/>
      <c r="L243" s="192"/>
      <c r="M243" s="75"/>
      <c r="N243" s="2"/>
      <c r="O243" s="2"/>
      <c r="P243" s="2"/>
      <c r="Q243" s="2"/>
      <c r="R243" s="2"/>
    </row>
    <row r="244" spans="1:18" x14ac:dyDescent="0.2">
      <c r="A244" s="2"/>
      <c r="B244" s="2"/>
      <c r="C244" s="74"/>
      <c r="D244" s="74"/>
      <c r="E244" s="74"/>
      <c r="F244" s="74"/>
      <c r="G244" s="74"/>
      <c r="H244" s="74"/>
      <c r="I244" s="74"/>
      <c r="J244" s="74"/>
      <c r="K244" s="192"/>
      <c r="L244" s="192"/>
      <c r="M244" s="75"/>
      <c r="N244" s="2"/>
      <c r="O244" s="2"/>
      <c r="P244" s="2"/>
      <c r="Q244" s="2"/>
      <c r="R244" s="2"/>
    </row>
    <row r="245" spans="1:18" x14ac:dyDescent="0.2">
      <c r="A245" s="2"/>
      <c r="B245" s="2"/>
      <c r="C245" s="74"/>
      <c r="D245" s="74"/>
      <c r="E245" s="74"/>
      <c r="F245" s="74"/>
      <c r="G245" s="74"/>
      <c r="H245" s="74"/>
      <c r="I245" s="74"/>
      <c r="J245" s="74"/>
      <c r="K245" s="192"/>
      <c r="L245" s="192"/>
      <c r="M245" s="75"/>
      <c r="N245" s="2"/>
      <c r="O245" s="2"/>
      <c r="P245" s="2"/>
      <c r="Q245" s="2"/>
      <c r="R245" s="2"/>
    </row>
    <row r="246" spans="1:18" x14ac:dyDescent="0.2">
      <c r="A246" s="2"/>
      <c r="B246" s="2"/>
      <c r="C246" s="74"/>
      <c r="D246" s="74"/>
      <c r="E246" s="74"/>
      <c r="F246" s="74"/>
      <c r="G246" s="74"/>
      <c r="H246" s="74"/>
      <c r="I246" s="74"/>
      <c r="J246" s="74"/>
      <c r="K246" s="192"/>
      <c r="L246" s="192"/>
      <c r="M246" s="75"/>
      <c r="N246" s="2"/>
      <c r="O246" s="2"/>
      <c r="P246" s="2"/>
      <c r="Q246" s="2"/>
      <c r="R246" s="2"/>
    </row>
    <row r="247" spans="1:18" x14ac:dyDescent="0.2">
      <c r="A247" s="2"/>
      <c r="B247" s="2"/>
      <c r="C247" s="74"/>
      <c r="D247" s="74"/>
      <c r="E247" s="74"/>
      <c r="F247" s="74"/>
      <c r="G247" s="74"/>
      <c r="H247" s="74"/>
      <c r="I247" s="74"/>
      <c r="J247" s="74"/>
      <c r="K247" s="192"/>
      <c r="L247" s="192"/>
      <c r="M247" s="75"/>
      <c r="N247" s="2"/>
      <c r="O247" s="2"/>
      <c r="P247" s="2"/>
      <c r="Q247" s="2"/>
      <c r="R247" s="2"/>
    </row>
    <row r="248" spans="1:18" x14ac:dyDescent="0.2">
      <c r="A248" s="2"/>
      <c r="B248" s="2"/>
      <c r="C248" s="74"/>
      <c r="D248" s="74"/>
      <c r="E248" s="74"/>
      <c r="F248" s="74"/>
      <c r="G248" s="74"/>
      <c r="H248" s="74"/>
      <c r="I248" s="74"/>
      <c r="J248" s="74"/>
      <c r="K248" s="192"/>
      <c r="L248" s="192"/>
      <c r="M248" s="75"/>
      <c r="N248" s="2"/>
      <c r="O248" s="2"/>
      <c r="P248" s="2"/>
      <c r="Q248" s="2"/>
      <c r="R248" s="2"/>
    </row>
    <row r="249" spans="1:18" x14ac:dyDescent="0.2">
      <c r="A249" s="2"/>
      <c r="B249" s="2"/>
      <c r="C249" s="74"/>
      <c r="D249" s="74"/>
      <c r="E249" s="74"/>
      <c r="F249" s="74"/>
      <c r="G249" s="74"/>
      <c r="H249" s="74"/>
      <c r="I249" s="74"/>
      <c r="J249" s="74"/>
      <c r="K249" s="192"/>
      <c r="L249" s="192"/>
      <c r="M249" s="75"/>
      <c r="N249" s="2"/>
      <c r="O249" s="2"/>
      <c r="P249" s="2"/>
      <c r="Q249" s="2"/>
      <c r="R249" s="2"/>
    </row>
    <row r="250" spans="1:18" x14ac:dyDescent="0.2">
      <c r="A250" s="2"/>
      <c r="B250" s="2"/>
      <c r="C250" s="74"/>
      <c r="D250" s="74"/>
      <c r="E250" s="74"/>
      <c r="F250" s="74"/>
      <c r="G250" s="74"/>
      <c r="H250" s="74"/>
      <c r="I250" s="74"/>
      <c r="J250" s="74"/>
      <c r="K250" s="192"/>
      <c r="L250" s="192"/>
      <c r="M250" s="75"/>
      <c r="N250" s="2"/>
      <c r="O250" s="2"/>
      <c r="P250" s="2"/>
      <c r="Q250" s="2"/>
      <c r="R250" s="2"/>
    </row>
    <row r="251" spans="1:18" x14ac:dyDescent="0.2">
      <c r="A251" s="2"/>
      <c r="B251" s="2"/>
      <c r="C251" s="74"/>
      <c r="D251" s="74"/>
      <c r="E251" s="74"/>
      <c r="F251" s="74"/>
      <c r="G251" s="74"/>
      <c r="H251" s="74"/>
      <c r="I251" s="74"/>
      <c r="J251" s="74"/>
      <c r="K251" s="192"/>
      <c r="L251" s="192"/>
      <c r="M251" s="75"/>
      <c r="N251" s="2"/>
      <c r="O251" s="2"/>
      <c r="P251" s="2"/>
      <c r="Q251" s="2"/>
      <c r="R251" s="2"/>
    </row>
    <row r="252" spans="1:18" x14ac:dyDescent="0.2">
      <c r="A252" s="2"/>
      <c r="B252" s="2"/>
      <c r="C252" s="74"/>
      <c r="D252" s="74"/>
      <c r="E252" s="74"/>
      <c r="F252" s="74"/>
      <c r="G252" s="74"/>
      <c r="H252" s="74"/>
      <c r="I252" s="74"/>
      <c r="J252" s="74"/>
      <c r="K252" s="192"/>
      <c r="L252" s="192"/>
      <c r="M252" s="75"/>
      <c r="N252" s="2"/>
      <c r="O252" s="2"/>
      <c r="P252" s="2"/>
      <c r="Q252" s="2"/>
      <c r="R252" s="2"/>
    </row>
    <row r="253" spans="1:18" x14ac:dyDescent="0.2">
      <c r="A253" s="2"/>
      <c r="B253" s="2"/>
      <c r="C253" s="74"/>
      <c r="D253" s="74"/>
      <c r="E253" s="74"/>
      <c r="F253" s="74"/>
      <c r="G253" s="74"/>
      <c r="H253" s="74"/>
      <c r="I253" s="74"/>
      <c r="J253" s="74"/>
      <c r="K253" s="192"/>
      <c r="L253" s="192"/>
      <c r="M253" s="75"/>
      <c r="N253" s="2"/>
      <c r="O253" s="2"/>
      <c r="P253" s="2"/>
      <c r="Q253" s="2"/>
      <c r="R253" s="2"/>
    </row>
    <row r="254" spans="1:18" x14ac:dyDescent="0.2">
      <c r="A254" s="2"/>
      <c r="B254" s="2"/>
      <c r="C254" s="74"/>
      <c r="D254" s="74"/>
      <c r="E254" s="74"/>
      <c r="F254" s="74"/>
      <c r="G254" s="74"/>
      <c r="H254" s="74"/>
      <c r="I254" s="74"/>
      <c r="J254" s="74"/>
      <c r="K254" s="192"/>
      <c r="L254" s="192"/>
      <c r="M254" s="75"/>
      <c r="N254" s="2"/>
      <c r="O254" s="2"/>
      <c r="P254" s="2"/>
      <c r="Q254" s="2"/>
      <c r="R254" s="2"/>
    </row>
    <row r="255" spans="1:18" x14ac:dyDescent="0.2">
      <c r="A255" s="2"/>
      <c r="B255" s="2"/>
      <c r="C255" s="74"/>
      <c r="D255" s="74"/>
      <c r="E255" s="74"/>
      <c r="F255" s="74"/>
      <c r="G255" s="74"/>
      <c r="H255" s="74"/>
      <c r="I255" s="74"/>
      <c r="J255" s="74"/>
      <c r="K255" s="192"/>
      <c r="L255" s="192"/>
      <c r="M255" s="75"/>
      <c r="N255" s="2"/>
      <c r="O255" s="2"/>
      <c r="P255" s="2"/>
      <c r="Q255" s="2"/>
      <c r="R255" s="2"/>
    </row>
    <row r="256" spans="1:18" x14ac:dyDescent="0.2">
      <c r="A256" s="2"/>
      <c r="B256" s="2"/>
      <c r="C256" s="74"/>
      <c r="D256" s="74"/>
      <c r="E256" s="74"/>
      <c r="F256" s="74"/>
      <c r="G256" s="74"/>
      <c r="H256" s="74"/>
      <c r="I256" s="74"/>
      <c r="J256" s="74"/>
      <c r="K256" s="192"/>
      <c r="L256" s="192"/>
      <c r="M256" s="75"/>
      <c r="N256" s="2"/>
      <c r="O256" s="2"/>
      <c r="P256" s="2"/>
      <c r="Q256" s="2"/>
      <c r="R256" s="2"/>
    </row>
    <row r="257" spans="1:18" x14ac:dyDescent="0.2">
      <c r="A257" s="2"/>
      <c r="B257" s="2"/>
      <c r="C257" s="74"/>
      <c r="D257" s="74"/>
      <c r="E257" s="74"/>
      <c r="F257" s="74"/>
      <c r="G257" s="74"/>
      <c r="H257" s="74"/>
      <c r="I257" s="74"/>
      <c r="J257" s="74"/>
      <c r="K257" s="192"/>
      <c r="L257" s="192"/>
      <c r="M257" s="75"/>
      <c r="N257" s="2"/>
      <c r="O257" s="2"/>
      <c r="P257" s="2"/>
      <c r="Q257" s="2"/>
      <c r="R257" s="2"/>
    </row>
    <row r="258" spans="1:18" x14ac:dyDescent="0.2">
      <c r="A258" s="2"/>
      <c r="B258" s="2"/>
      <c r="C258" s="74"/>
      <c r="D258" s="74"/>
      <c r="E258" s="74"/>
      <c r="F258" s="74"/>
      <c r="G258" s="74"/>
      <c r="H258" s="74"/>
      <c r="I258" s="74"/>
      <c r="J258" s="74"/>
      <c r="K258" s="192"/>
      <c r="L258" s="192"/>
      <c r="M258" s="75"/>
      <c r="N258" s="2"/>
      <c r="O258" s="2"/>
      <c r="P258" s="2"/>
      <c r="Q258" s="2"/>
      <c r="R258" s="2"/>
    </row>
    <row r="259" spans="1:18" x14ac:dyDescent="0.2">
      <c r="A259" s="2"/>
      <c r="B259" s="2"/>
      <c r="C259" s="74"/>
      <c r="D259" s="74"/>
      <c r="E259" s="74"/>
      <c r="F259" s="74"/>
      <c r="G259" s="74"/>
      <c r="H259" s="74"/>
      <c r="I259" s="74"/>
      <c r="J259" s="74"/>
      <c r="K259" s="192"/>
      <c r="L259" s="192"/>
      <c r="M259" s="75"/>
      <c r="N259" s="2"/>
      <c r="O259" s="2"/>
      <c r="P259" s="2"/>
      <c r="Q259" s="2"/>
      <c r="R259" s="2"/>
    </row>
    <row r="260" spans="1:18" x14ac:dyDescent="0.2">
      <c r="A260" s="2"/>
      <c r="B260" s="2"/>
      <c r="C260" s="74"/>
      <c r="D260" s="74"/>
      <c r="E260" s="74"/>
      <c r="F260" s="74"/>
      <c r="G260" s="74"/>
      <c r="H260" s="74"/>
      <c r="I260" s="74"/>
      <c r="J260" s="74"/>
      <c r="K260" s="192"/>
      <c r="L260" s="192"/>
      <c r="M260" s="75"/>
      <c r="N260" s="2"/>
      <c r="O260" s="2"/>
      <c r="P260" s="2"/>
      <c r="Q260" s="2"/>
      <c r="R260" s="2"/>
    </row>
    <row r="261" spans="1:18" x14ac:dyDescent="0.2">
      <c r="A261" s="2"/>
      <c r="B261" s="2"/>
      <c r="C261" s="74"/>
      <c r="D261" s="74"/>
      <c r="E261" s="74"/>
      <c r="F261" s="74"/>
      <c r="G261" s="74"/>
      <c r="H261" s="74"/>
      <c r="I261" s="74"/>
      <c r="J261" s="74"/>
      <c r="K261" s="192"/>
      <c r="L261" s="192"/>
      <c r="M261" s="75"/>
      <c r="N261" s="2"/>
      <c r="O261" s="2"/>
      <c r="P261" s="2"/>
      <c r="Q261" s="2"/>
      <c r="R261" s="2"/>
    </row>
    <row r="262" spans="1:18" x14ac:dyDescent="0.2">
      <c r="A262" s="2"/>
      <c r="B262" s="2"/>
      <c r="C262" s="74"/>
      <c r="D262" s="74"/>
      <c r="E262" s="74"/>
      <c r="F262" s="74"/>
      <c r="G262" s="74"/>
      <c r="H262" s="74"/>
      <c r="I262" s="74"/>
      <c r="J262" s="74"/>
      <c r="K262" s="192"/>
      <c r="L262" s="192"/>
      <c r="M262" s="75"/>
      <c r="N262" s="2"/>
      <c r="O262" s="2"/>
      <c r="P262" s="2"/>
      <c r="Q262" s="2"/>
      <c r="R262" s="2"/>
    </row>
    <row r="263" spans="1:18" x14ac:dyDescent="0.2">
      <c r="A263" s="2"/>
      <c r="B263" s="2"/>
      <c r="C263" s="74"/>
      <c r="D263" s="74"/>
      <c r="E263" s="74"/>
      <c r="F263" s="74"/>
      <c r="G263" s="74"/>
      <c r="H263" s="74"/>
      <c r="I263" s="74"/>
      <c r="J263" s="74"/>
      <c r="K263" s="192"/>
      <c r="L263" s="192"/>
      <c r="M263" s="75"/>
      <c r="N263" s="2"/>
      <c r="O263" s="2"/>
      <c r="P263" s="2"/>
      <c r="Q263" s="2"/>
      <c r="R263" s="2"/>
    </row>
    <row r="264" spans="1:18" x14ac:dyDescent="0.2">
      <c r="A264" s="2"/>
      <c r="B264" s="2"/>
      <c r="C264" s="74"/>
      <c r="D264" s="74"/>
      <c r="E264" s="74"/>
      <c r="F264" s="74"/>
      <c r="G264" s="74"/>
      <c r="H264" s="74"/>
      <c r="I264" s="74"/>
      <c r="J264" s="74"/>
      <c r="K264" s="192"/>
      <c r="L264" s="192"/>
      <c r="M264" s="75"/>
      <c r="N264" s="2"/>
      <c r="O264" s="2"/>
      <c r="P264" s="2"/>
      <c r="Q264" s="2"/>
      <c r="R264" s="2"/>
    </row>
    <row r="265" spans="1:18" x14ac:dyDescent="0.2">
      <c r="A265" s="2"/>
      <c r="B265" s="2"/>
      <c r="C265" s="74"/>
      <c r="D265" s="74"/>
      <c r="E265" s="74"/>
      <c r="F265" s="74"/>
      <c r="G265" s="74"/>
      <c r="H265" s="74"/>
      <c r="I265" s="74"/>
      <c r="J265" s="74"/>
      <c r="K265" s="192"/>
      <c r="L265" s="192"/>
      <c r="M265" s="75"/>
      <c r="N265" s="2"/>
      <c r="O265" s="2"/>
      <c r="P265" s="2"/>
      <c r="Q265" s="2"/>
      <c r="R265" s="2"/>
    </row>
    <row r="266" spans="1:18" x14ac:dyDescent="0.2">
      <c r="A266" s="2"/>
      <c r="B266" s="2"/>
      <c r="C266" s="74"/>
      <c r="D266" s="74"/>
      <c r="E266" s="74"/>
      <c r="F266" s="74"/>
      <c r="G266" s="74"/>
      <c r="H266" s="74"/>
      <c r="I266" s="74"/>
      <c r="J266" s="74"/>
      <c r="K266" s="192"/>
      <c r="L266" s="192"/>
      <c r="M266" s="75"/>
      <c r="N266" s="2"/>
      <c r="O266" s="2"/>
      <c r="P266" s="2"/>
      <c r="Q266" s="2"/>
      <c r="R266" s="2"/>
    </row>
    <row r="267" spans="1:18" x14ac:dyDescent="0.2">
      <c r="A267" s="2"/>
      <c r="B267" s="2"/>
      <c r="C267" s="74"/>
      <c r="D267" s="74"/>
      <c r="E267" s="74"/>
      <c r="F267" s="74"/>
      <c r="G267" s="74"/>
      <c r="H267" s="74"/>
      <c r="I267" s="74"/>
      <c r="J267" s="74"/>
      <c r="K267" s="192"/>
      <c r="L267" s="192"/>
      <c r="M267" s="75"/>
      <c r="N267" s="2"/>
      <c r="O267" s="2"/>
      <c r="P267" s="2"/>
      <c r="Q267" s="2"/>
      <c r="R267" s="2"/>
    </row>
    <row r="268" spans="1:18" x14ac:dyDescent="0.2">
      <c r="A268" s="2"/>
      <c r="B268" s="2"/>
      <c r="C268" s="74"/>
      <c r="D268" s="74"/>
      <c r="E268" s="74"/>
      <c r="F268" s="74"/>
      <c r="G268" s="74"/>
      <c r="H268" s="74"/>
      <c r="I268" s="74"/>
      <c r="J268" s="74"/>
      <c r="K268" s="192"/>
      <c r="L268" s="192"/>
      <c r="M268" s="75"/>
      <c r="N268" s="2"/>
      <c r="O268" s="2"/>
      <c r="P268" s="2"/>
      <c r="Q268" s="2"/>
      <c r="R268" s="2"/>
    </row>
    <row r="269" spans="1:18" x14ac:dyDescent="0.2">
      <c r="A269" s="2"/>
      <c r="B269" s="2"/>
      <c r="C269" s="74"/>
      <c r="D269" s="74"/>
      <c r="E269" s="74"/>
      <c r="F269" s="74"/>
      <c r="G269" s="74"/>
      <c r="H269" s="74"/>
      <c r="I269" s="74"/>
      <c r="J269" s="74"/>
      <c r="K269" s="192"/>
      <c r="L269" s="192"/>
      <c r="M269" s="75"/>
      <c r="N269" s="2"/>
      <c r="O269" s="2"/>
      <c r="P269" s="2"/>
      <c r="Q269" s="2"/>
      <c r="R269" s="2"/>
    </row>
    <row r="270" spans="1:18" x14ac:dyDescent="0.2">
      <c r="A270" s="2"/>
      <c r="B270" s="2"/>
      <c r="C270" s="74"/>
      <c r="D270" s="74"/>
      <c r="E270" s="74"/>
      <c r="F270" s="74"/>
      <c r="G270" s="74"/>
      <c r="H270" s="74"/>
      <c r="I270" s="74"/>
      <c r="J270" s="74"/>
      <c r="K270" s="192"/>
      <c r="L270" s="192"/>
      <c r="M270" s="75"/>
      <c r="N270" s="2"/>
      <c r="O270" s="2"/>
      <c r="P270" s="2"/>
      <c r="Q270" s="2"/>
      <c r="R270" s="2"/>
    </row>
    <row r="271" spans="1:18" x14ac:dyDescent="0.2">
      <c r="A271" s="2"/>
      <c r="B271" s="2"/>
      <c r="C271" s="74"/>
      <c r="D271" s="74"/>
      <c r="E271" s="74"/>
      <c r="F271" s="74"/>
      <c r="G271" s="74"/>
      <c r="H271" s="74"/>
      <c r="I271" s="74"/>
      <c r="J271" s="74"/>
      <c r="K271" s="192"/>
      <c r="L271" s="192"/>
      <c r="M271" s="75"/>
      <c r="N271" s="2"/>
      <c r="O271" s="2"/>
      <c r="P271" s="2"/>
      <c r="Q271" s="2"/>
      <c r="R271" s="2"/>
    </row>
    <row r="272" spans="1:18" x14ac:dyDescent="0.2">
      <c r="A272" s="2"/>
      <c r="B272" s="2"/>
      <c r="C272" s="74"/>
      <c r="D272" s="74"/>
      <c r="E272" s="74"/>
      <c r="F272" s="74"/>
      <c r="G272" s="74"/>
      <c r="H272" s="74"/>
      <c r="I272" s="74"/>
      <c r="J272" s="74"/>
      <c r="K272" s="192"/>
      <c r="L272" s="192"/>
      <c r="M272" s="75"/>
      <c r="N272" s="2"/>
      <c r="O272" s="2"/>
      <c r="P272" s="2"/>
      <c r="Q272" s="2"/>
      <c r="R272" s="2"/>
    </row>
    <row r="273" spans="1:18" x14ac:dyDescent="0.2">
      <c r="A273" s="2"/>
      <c r="B273" s="2"/>
      <c r="C273" s="74"/>
      <c r="D273" s="74"/>
      <c r="E273" s="74"/>
      <c r="F273" s="74"/>
      <c r="G273" s="74"/>
      <c r="H273" s="74"/>
      <c r="I273" s="74"/>
      <c r="J273" s="74"/>
      <c r="K273" s="192"/>
      <c r="L273" s="192"/>
      <c r="M273" s="75"/>
      <c r="N273" s="2"/>
      <c r="O273" s="2"/>
      <c r="P273" s="2"/>
      <c r="Q273" s="2"/>
      <c r="R273" s="2"/>
    </row>
    <row r="274" spans="1:18" x14ac:dyDescent="0.2">
      <c r="A274" s="2"/>
      <c r="B274" s="2"/>
      <c r="C274" s="74"/>
      <c r="D274" s="74"/>
      <c r="E274" s="74"/>
      <c r="F274" s="74"/>
      <c r="G274" s="74"/>
      <c r="H274" s="74"/>
      <c r="I274" s="74"/>
      <c r="J274" s="74"/>
      <c r="K274" s="192"/>
      <c r="L274" s="192"/>
      <c r="M274" s="75"/>
      <c r="N274" s="2"/>
      <c r="O274" s="2"/>
      <c r="P274" s="2"/>
      <c r="Q274" s="2"/>
      <c r="R274" s="2"/>
    </row>
    <row r="275" spans="1:18" x14ac:dyDescent="0.2">
      <c r="A275" s="2"/>
      <c r="B275" s="2"/>
      <c r="C275" s="74"/>
      <c r="D275" s="74"/>
      <c r="E275" s="74"/>
      <c r="F275" s="74"/>
      <c r="G275" s="74"/>
      <c r="H275" s="74"/>
      <c r="I275" s="74"/>
      <c r="J275" s="74"/>
      <c r="K275" s="192"/>
      <c r="L275" s="192"/>
      <c r="M275" s="75"/>
      <c r="N275" s="2"/>
      <c r="O275" s="2"/>
      <c r="P275" s="2"/>
      <c r="Q275" s="2"/>
      <c r="R275" s="2"/>
    </row>
    <row r="276" spans="1:18" x14ac:dyDescent="0.2">
      <c r="A276" s="2"/>
      <c r="B276" s="2"/>
      <c r="C276" s="74"/>
      <c r="D276" s="74"/>
      <c r="E276" s="74"/>
      <c r="F276" s="74"/>
      <c r="G276" s="74"/>
      <c r="H276" s="74"/>
      <c r="I276" s="74"/>
      <c r="J276" s="74"/>
      <c r="K276" s="192"/>
      <c r="L276" s="192"/>
      <c r="M276" s="75"/>
      <c r="N276" s="2"/>
      <c r="O276" s="2"/>
      <c r="P276" s="2"/>
      <c r="Q276" s="2"/>
      <c r="R276" s="2"/>
    </row>
    <row r="277" spans="1:18" x14ac:dyDescent="0.2">
      <c r="A277" s="2"/>
      <c r="B277" s="2"/>
      <c r="C277" s="74"/>
      <c r="D277" s="74"/>
      <c r="E277" s="74"/>
      <c r="F277" s="74"/>
      <c r="G277" s="74"/>
      <c r="H277" s="74"/>
      <c r="I277" s="74"/>
      <c r="J277" s="74"/>
      <c r="K277" s="192"/>
      <c r="L277" s="192"/>
      <c r="M277" s="75"/>
      <c r="N277" s="2"/>
      <c r="O277" s="2"/>
      <c r="P277" s="2"/>
      <c r="Q277" s="2"/>
      <c r="R277" s="2"/>
    </row>
    <row r="278" spans="1:18" x14ac:dyDescent="0.2">
      <c r="A278" s="2"/>
      <c r="B278" s="2"/>
      <c r="C278" s="74"/>
      <c r="D278" s="74"/>
      <c r="E278" s="74"/>
      <c r="F278" s="74"/>
      <c r="G278" s="74"/>
      <c r="H278" s="74"/>
      <c r="I278" s="74"/>
      <c r="J278" s="74"/>
      <c r="K278" s="192"/>
      <c r="L278" s="192"/>
      <c r="M278" s="75"/>
      <c r="N278" s="2"/>
      <c r="O278" s="2"/>
      <c r="P278" s="2"/>
      <c r="Q278" s="2"/>
      <c r="R278" s="2"/>
    </row>
    <row r="279" spans="1:18" x14ac:dyDescent="0.2">
      <c r="A279" s="2"/>
      <c r="B279" s="2"/>
      <c r="C279" s="74"/>
      <c r="D279" s="74"/>
      <c r="E279" s="74"/>
      <c r="F279" s="74"/>
      <c r="G279" s="74"/>
      <c r="H279" s="74"/>
      <c r="I279" s="74"/>
      <c r="J279" s="74"/>
      <c r="K279" s="192"/>
      <c r="L279" s="192"/>
      <c r="M279" s="75"/>
      <c r="N279" s="2"/>
      <c r="O279" s="2"/>
      <c r="P279" s="2"/>
      <c r="Q279" s="2"/>
      <c r="R279" s="2"/>
    </row>
    <row r="280" spans="1:18" x14ac:dyDescent="0.2">
      <c r="A280" s="2"/>
      <c r="B280" s="2"/>
      <c r="C280" s="74"/>
      <c r="D280" s="74"/>
      <c r="E280" s="74"/>
      <c r="F280" s="74"/>
      <c r="G280" s="74"/>
      <c r="H280" s="74"/>
      <c r="I280" s="74"/>
      <c r="J280" s="74"/>
      <c r="K280" s="192"/>
      <c r="L280" s="192"/>
      <c r="M280" s="75"/>
      <c r="N280" s="2"/>
      <c r="O280" s="2"/>
      <c r="P280" s="2"/>
      <c r="Q280" s="2"/>
      <c r="R280" s="2"/>
    </row>
    <row r="281" spans="1:18" x14ac:dyDescent="0.2">
      <c r="A281" s="2"/>
      <c r="B281" s="2"/>
      <c r="C281" s="74"/>
      <c r="D281" s="74"/>
      <c r="E281" s="74"/>
      <c r="F281" s="74"/>
      <c r="G281" s="74"/>
      <c r="H281" s="74"/>
      <c r="I281" s="74"/>
      <c r="J281" s="74"/>
      <c r="K281" s="192"/>
      <c r="L281" s="192"/>
      <c r="M281" s="75"/>
      <c r="N281" s="2"/>
      <c r="O281" s="2"/>
      <c r="P281" s="2"/>
      <c r="Q281" s="2"/>
      <c r="R281" s="2"/>
    </row>
    <row r="282" spans="1:18" x14ac:dyDescent="0.2">
      <c r="A282" s="2"/>
      <c r="B282" s="2"/>
      <c r="C282" s="74"/>
      <c r="D282" s="74"/>
      <c r="E282" s="74"/>
      <c r="F282" s="74"/>
      <c r="G282" s="74"/>
      <c r="H282" s="74"/>
      <c r="I282" s="74"/>
      <c r="J282" s="74"/>
      <c r="K282" s="192"/>
      <c r="L282" s="192"/>
      <c r="M282" s="75"/>
      <c r="N282" s="2"/>
      <c r="O282" s="2"/>
      <c r="P282" s="2"/>
      <c r="Q282" s="2"/>
      <c r="R282" s="2"/>
    </row>
    <row r="283" spans="1:18" x14ac:dyDescent="0.2">
      <c r="A283" s="2"/>
      <c r="B283" s="2"/>
      <c r="C283" s="74"/>
      <c r="D283" s="74"/>
      <c r="E283" s="74"/>
      <c r="F283" s="74"/>
      <c r="G283" s="74"/>
      <c r="H283" s="74"/>
      <c r="I283" s="74"/>
      <c r="J283" s="74"/>
      <c r="K283" s="192"/>
      <c r="L283" s="192"/>
      <c r="M283" s="75"/>
      <c r="N283" s="2"/>
      <c r="O283" s="2"/>
      <c r="P283" s="2"/>
      <c r="Q283" s="2"/>
      <c r="R283" s="2"/>
    </row>
    <row r="284" spans="1:18" x14ac:dyDescent="0.2">
      <c r="A284" s="2"/>
      <c r="B284" s="2"/>
      <c r="C284" s="74"/>
      <c r="D284" s="74"/>
      <c r="E284" s="74"/>
      <c r="F284" s="74"/>
      <c r="G284" s="74"/>
      <c r="H284" s="74"/>
      <c r="I284" s="74"/>
      <c r="J284" s="74"/>
      <c r="K284" s="192"/>
      <c r="L284" s="192"/>
      <c r="M284" s="75"/>
      <c r="N284" s="2"/>
      <c r="O284" s="2"/>
      <c r="P284" s="2"/>
      <c r="Q284" s="2"/>
      <c r="R284" s="2"/>
    </row>
    <row r="285" spans="1:18" x14ac:dyDescent="0.2">
      <c r="A285" s="2"/>
      <c r="B285" s="2"/>
      <c r="C285" s="74"/>
      <c r="D285" s="74"/>
      <c r="E285" s="74"/>
      <c r="F285" s="74"/>
      <c r="G285" s="74"/>
      <c r="H285" s="74"/>
      <c r="I285" s="74"/>
      <c r="J285" s="74"/>
      <c r="K285" s="192"/>
      <c r="L285" s="192"/>
      <c r="M285" s="75"/>
      <c r="N285" s="2"/>
      <c r="O285" s="2"/>
      <c r="P285" s="2"/>
      <c r="Q285" s="2"/>
      <c r="R285" s="2"/>
    </row>
    <row r="286" spans="1:18" x14ac:dyDescent="0.2">
      <c r="A286" s="2"/>
      <c r="B286" s="2"/>
      <c r="C286" s="74"/>
      <c r="D286" s="74"/>
      <c r="E286" s="74"/>
      <c r="F286" s="74"/>
      <c r="G286" s="74"/>
      <c r="H286" s="74"/>
      <c r="I286" s="74"/>
      <c r="J286" s="74"/>
      <c r="K286" s="192"/>
      <c r="L286" s="192"/>
      <c r="M286" s="75"/>
      <c r="N286" s="2"/>
      <c r="O286" s="2"/>
      <c r="P286" s="2"/>
      <c r="Q286" s="2"/>
      <c r="R286" s="2"/>
    </row>
    <row r="287" spans="1:18" x14ac:dyDescent="0.2">
      <c r="A287" s="2"/>
      <c r="B287" s="2"/>
      <c r="C287" s="74"/>
      <c r="D287" s="74"/>
      <c r="E287" s="74"/>
      <c r="F287" s="74"/>
      <c r="G287" s="74"/>
      <c r="H287" s="74"/>
      <c r="I287" s="74"/>
      <c r="J287" s="74"/>
      <c r="K287" s="192"/>
      <c r="L287" s="192"/>
      <c r="M287" s="75"/>
      <c r="N287" s="2"/>
      <c r="O287" s="2"/>
      <c r="P287" s="2"/>
      <c r="Q287" s="2"/>
      <c r="R287" s="2"/>
    </row>
    <row r="288" spans="1:18" x14ac:dyDescent="0.2">
      <c r="A288" s="2"/>
      <c r="B288" s="2"/>
      <c r="C288" s="74"/>
      <c r="D288" s="74"/>
      <c r="E288" s="74"/>
      <c r="F288" s="74"/>
      <c r="G288" s="74"/>
      <c r="H288" s="74"/>
      <c r="I288" s="74"/>
      <c r="J288" s="74"/>
      <c r="K288" s="192"/>
      <c r="L288" s="192"/>
      <c r="M288" s="75"/>
      <c r="N288" s="2"/>
      <c r="O288" s="2"/>
      <c r="P288" s="2"/>
      <c r="Q288" s="2"/>
      <c r="R288" s="2"/>
    </row>
    <row r="289" spans="1:18" x14ac:dyDescent="0.2">
      <c r="A289" s="2"/>
      <c r="B289" s="2"/>
      <c r="C289" s="74"/>
      <c r="D289" s="74"/>
      <c r="E289" s="74"/>
      <c r="F289" s="74"/>
      <c r="G289" s="74"/>
      <c r="H289" s="74"/>
      <c r="I289" s="74"/>
      <c r="J289" s="74"/>
      <c r="K289" s="192"/>
      <c r="L289" s="192"/>
      <c r="M289" s="75"/>
      <c r="N289" s="2"/>
      <c r="O289" s="2"/>
      <c r="P289" s="2"/>
      <c r="Q289" s="2"/>
      <c r="R289" s="2"/>
    </row>
    <row r="290" spans="1:18" x14ac:dyDescent="0.2">
      <c r="A290" s="2"/>
      <c r="B290" s="2"/>
      <c r="C290" s="74"/>
      <c r="D290" s="74"/>
      <c r="E290" s="74"/>
      <c r="F290" s="74"/>
      <c r="G290" s="74"/>
      <c r="H290" s="74"/>
      <c r="I290" s="74"/>
      <c r="J290" s="74"/>
      <c r="K290" s="192"/>
      <c r="L290" s="192"/>
      <c r="M290" s="75"/>
      <c r="N290" s="2"/>
      <c r="O290" s="2"/>
      <c r="P290" s="2"/>
      <c r="Q290" s="2"/>
      <c r="R290" s="2"/>
    </row>
    <row r="291" spans="1:18" x14ac:dyDescent="0.2">
      <c r="A291" s="2"/>
      <c r="B291" s="2"/>
      <c r="C291" s="74"/>
      <c r="D291" s="74"/>
      <c r="E291" s="74"/>
      <c r="F291" s="74"/>
      <c r="G291" s="74"/>
      <c r="H291" s="74"/>
      <c r="I291" s="74"/>
      <c r="J291" s="74"/>
      <c r="K291" s="192"/>
      <c r="L291" s="192"/>
      <c r="M291" s="75"/>
      <c r="N291" s="2"/>
      <c r="O291" s="2"/>
      <c r="P291" s="2"/>
      <c r="Q291" s="2"/>
      <c r="R291" s="2"/>
    </row>
    <row r="292" spans="1:18" x14ac:dyDescent="0.2">
      <c r="A292" s="2"/>
      <c r="B292" s="2"/>
      <c r="C292" s="74"/>
      <c r="D292" s="74"/>
      <c r="E292" s="74"/>
      <c r="F292" s="74"/>
      <c r="G292" s="74"/>
      <c r="H292" s="74"/>
      <c r="I292" s="74"/>
      <c r="J292" s="74"/>
      <c r="K292" s="192"/>
      <c r="L292" s="192"/>
      <c r="M292" s="75"/>
      <c r="N292" s="2"/>
      <c r="O292" s="2"/>
      <c r="P292" s="2"/>
      <c r="Q292" s="2"/>
      <c r="R292" s="2"/>
    </row>
    <row r="293" spans="1:18" x14ac:dyDescent="0.2">
      <c r="A293" s="2"/>
      <c r="B293" s="2"/>
      <c r="C293" s="74"/>
      <c r="D293" s="74"/>
      <c r="E293" s="74"/>
      <c r="F293" s="74"/>
      <c r="G293" s="74"/>
      <c r="H293" s="74"/>
      <c r="I293" s="74"/>
      <c r="J293" s="74"/>
      <c r="K293" s="192"/>
      <c r="L293" s="192"/>
      <c r="M293" s="75"/>
      <c r="N293" s="2"/>
      <c r="O293" s="2"/>
      <c r="P293" s="2"/>
      <c r="Q293" s="2"/>
      <c r="R293" s="2"/>
    </row>
    <row r="294" spans="1:18" x14ac:dyDescent="0.2">
      <c r="A294" s="2"/>
      <c r="B294" s="2"/>
      <c r="C294" s="74"/>
      <c r="D294" s="74"/>
      <c r="E294" s="74"/>
      <c r="F294" s="74"/>
      <c r="G294" s="74"/>
      <c r="H294" s="74"/>
      <c r="I294" s="74"/>
      <c r="J294" s="74"/>
      <c r="K294" s="192"/>
      <c r="L294" s="192"/>
      <c r="M294" s="75"/>
      <c r="N294" s="2"/>
      <c r="O294" s="2"/>
      <c r="P294" s="2"/>
      <c r="Q294" s="2"/>
      <c r="R294" s="2"/>
    </row>
    <row r="295" spans="1:18" x14ac:dyDescent="0.2">
      <c r="A295" s="2"/>
      <c r="B295" s="2"/>
      <c r="C295" s="74"/>
      <c r="D295" s="74"/>
      <c r="E295" s="74"/>
      <c r="F295" s="74"/>
      <c r="G295" s="74"/>
      <c r="H295" s="74"/>
      <c r="I295" s="74"/>
      <c r="J295" s="74"/>
      <c r="K295" s="192"/>
      <c r="L295" s="192"/>
      <c r="M295" s="75"/>
      <c r="N295" s="2"/>
      <c r="O295" s="2"/>
      <c r="P295" s="2"/>
      <c r="Q295" s="2"/>
      <c r="R295" s="2"/>
    </row>
    <row r="296" spans="1:18" x14ac:dyDescent="0.2">
      <c r="A296" s="2"/>
      <c r="B296" s="2"/>
      <c r="C296" s="74"/>
      <c r="D296" s="74"/>
      <c r="E296" s="74"/>
      <c r="F296" s="74"/>
      <c r="G296" s="74"/>
      <c r="H296" s="74"/>
      <c r="I296" s="74"/>
      <c r="J296" s="74"/>
      <c r="K296" s="192"/>
      <c r="L296" s="192"/>
      <c r="M296" s="75"/>
      <c r="N296" s="2"/>
      <c r="O296" s="2"/>
      <c r="P296" s="2"/>
      <c r="Q296" s="2"/>
      <c r="R296" s="2"/>
    </row>
    <row r="297" spans="1:18" x14ac:dyDescent="0.2">
      <c r="A297" s="2"/>
      <c r="B297" s="2"/>
      <c r="C297" s="74"/>
      <c r="D297" s="74"/>
      <c r="E297" s="74"/>
      <c r="F297" s="74"/>
      <c r="G297" s="74"/>
      <c r="H297" s="74"/>
      <c r="I297" s="74"/>
      <c r="J297" s="74"/>
      <c r="K297" s="192"/>
      <c r="L297" s="192"/>
      <c r="M297" s="75"/>
      <c r="N297" s="2"/>
      <c r="O297" s="2"/>
      <c r="P297" s="2"/>
      <c r="Q297" s="2"/>
      <c r="R297" s="2"/>
    </row>
    <row r="298" spans="1:18" x14ac:dyDescent="0.2">
      <c r="A298" s="2"/>
      <c r="B298" s="2"/>
      <c r="C298" s="74"/>
      <c r="D298" s="74"/>
      <c r="E298" s="74"/>
      <c r="F298" s="74"/>
      <c r="G298" s="74"/>
      <c r="H298" s="74"/>
      <c r="I298" s="74"/>
      <c r="J298" s="74"/>
      <c r="K298" s="192"/>
      <c r="L298" s="192"/>
      <c r="M298" s="75"/>
      <c r="N298" s="2"/>
      <c r="O298" s="2"/>
      <c r="P298" s="2"/>
      <c r="Q298" s="2"/>
      <c r="R298" s="2"/>
    </row>
    <row r="299" spans="1:18" x14ac:dyDescent="0.2">
      <c r="A299" s="2"/>
      <c r="B299" s="2"/>
      <c r="C299" s="74"/>
      <c r="D299" s="74"/>
      <c r="E299" s="74"/>
      <c r="F299" s="74"/>
      <c r="G299" s="74"/>
      <c r="H299" s="74"/>
      <c r="I299" s="74"/>
      <c r="J299" s="74"/>
      <c r="K299" s="192"/>
      <c r="L299" s="192"/>
      <c r="M299" s="75"/>
      <c r="N299" s="2"/>
      <c r="O299" s="2"/>
      <c r="P299" s="2"/>
      <c r="Q299" s="2"/>
      <c r="R299" s="2"/>
    </row>
    <row r="300" spans="1:18" x14ac:dyDescent="0.2">
      <c r="A300" s="2"/>
      <c r="B300" s="2"/>
      <c r="C300" s="74"/>
      <c r="D300" s="74"/>
      <c r="E300" s="74"/>
      <c r="F300" s="74"/>
      <c r="G300" s="74"/>
      <c r="H300" s="74"/>
      <c r="I300" s="74"/>
      <c r="J300" s="74"/>
      <c r="K300" s="192"/>
      <c r="L300" s="192"/>
      <c r="M300" s="75"/>
      <c r="N300" s="2"/>
      <c r="O300" s="2"/>
      <c r="P300" s="2"/>
      <c r="Q300" s="2"/>
      <c r="R300" s="2"/>
    </row>
    <row r="301" spans="1:18" x14ac:dyDescent="0.2">
      <c r="A301" s="2"/>
      <c r="B301" s="2"/>
      <c r="C301" s="74"/>
      <c r="D301" s="74"/>
      <c r="E301" s="74"/>
      <c r="F301" s="74"/>
      <c r="G301" s="74"/>
      <c r="H301" s="74"/>
      <c r="I301" s="74"/>
      <c r="J301" s="74"/>
      <c r="K301" s="192"/>
      <c r="L301" s="192"/>
      <c r="M301" s="75"/>
      <c r="N301" s="2"/>
      <c r="O301" s="2"/>
      <c r="P301" s="2"/>
      <c r="Q301" s="2"/>
      <c r="R301" s="2"/>
    </row>
    <row r="302" spans="1:18" x14ac:dyDescent="0.2">
      <c r="A302" s="2"/>
      <c r="B302" s="2"/>
      <c r="C302" s="74"/>
      <c r="D302" s="74"/>
      <c r="E302" s="74"/>
      <c r="F302" s="74"/>
      <c r="G302" s="74"/>
      <c r="H302" s="74"/>
      <c r="I302" s="74"/>
      <c r="J302" s="74"/>
      <c r="K302" s="192"/>
      <c r="L302" s="192"/>
      <c r="M302" s="75"/>
      <c r="N302" s="2"/>
      <c r="O302" s="2"/>
      <c r="P302" s="2"/>
      <c r="Q302" s="2"/>
      <c r="R302" s="2"/>
    </row>
    <row r="303" spans="1:18" x14ac:dyDescent="0.2">
      <c r="A303" s="2"/>
      <c r="B303" s="2"/>
      <c r="C303" s="74"/>
      <c r="D303" s="74"/>
      <c r="E303" s="74"/>
      <c r="F303" s="74"/>
      <c r="G303" s="74"/>
      <c r="H303" s="74"/>
      <c r="I303" s="74"/>
      <c r="J303" s="74"/>
      <c r="K303" s="192"/>
      <c r="L303" s="192"/>
      <c r="M303" s="75"/>
      <c r="N303" s="2"/>
      <c r="O303" s="2"/>
      <c r="P303" s="2"/>
      <c r="Q303" s="2"/>
      <c r="R303" s="2"/>
    </row>
    <row r="304" spans="1:18" x14ac:dyDescent="0.2">
      <c r="A304" s="2"/>
      <c r="B304" s="2"/>
      <c r="C304" s="74"/>
      <c r="D304" s="74"/>
      <c r="E304" s="74"/>
      <c r="F304" s="74"/>
      <c r="G304" s="74"/>
      <c r="H304" s="74"/>
      <c r="I304" s="74"/>
      <c r="J304" s="74"/>
      <c r="K304" s="192"/>
      <c r="L304" s="192"/>
      <c r="M304" s="75"/>
      <c r="N304" s="2"/>
      <c r="O304" s="2"/>
      <c r="P304" s="2"/>
      <c r="Q304" s="2"/>
      <c r="R304" s="2"/>
    </row>
    <row r="305" spans="1:18" x14ac:dyDescent="0.2">
      <c r="A305" s="2"/>
      <c r="B305" s="2"/>
      <c r="C305" s="74"/>
      <c r="D305" s="74"/>
      <c r="E305" s="74"/>
      <c r="F305" s="74"/>
      <c r="G305" s="74"/>
      <c r="H305" s="74"/>
      <c r="I305" s="74"/>
      <c r="J305" s="74"/>
      <c r="K305" s="192"/>
      <c r="L305" s="192"/>
      <c r="M305" s="75"/>
      <c r="N305" s="2"/>
      <c r="O305" s="2"/>
      <c r="P305" s="2"/>
      <c r="Q305" s="2"/>
      <c r="R305" s="2"/>
    </row>
    <row r="306" spans="1:18" x14ac:dyDescent="0.2">
      <c r="A306" s="2"/>
      <c r="B306" s="2"/>
      <c r="C306" s="74"/>
      <c r="D306" s="74"/>
      <c r="E306" s="74"/>
      <c r="F306" s="74"/>
      <c r="G306" s="74"/>
      <c r="H306" s="74"/>
      <c r="I306" s="74"/>
      <c r="J306" s="74"/>
      <c r="K306" s="192"/>
      <c r="L306" s="192"/>
      <c r="M306" s="75"/>
      <c r="N306" s="2"/>
      <c r="O306" s="2"/>
      <c r="P306" s="2"/>
      <c r="Q306" s="2"/>
      <c r="R306" s="2"/>
    </row>
    <row r="307" spans="1:18" x14ac:dyDescent="0.2">
      <c r="A307" s="2"/>
      <c r="B307" s="2"/>
      <c r="C307" s="74"/>
      <c r="D307" s="74"/>
      <c r="E307" s="74"/>
      <c r="F307" s="74"/>
      <c r="G307" s="74"/>
      <c r="H307" s="74"/>
      <c r="I307" s="74"/>
      <c r="J307" s="74"/>
      <c r="K307" s="192"/>
      <c r="L307" s="192"/>
      <c r="M307" s="75"/>
      <c r="N307" s="2"/>
      <c r="O307" s="2"/>
      <c r="P307" s="2"/>
      <c r="Q307" s="2"/>
      <c r="R307" s="2"/>
    </row>
    <row r="308" spans="1:18" x14ac:dyDescent="0.2">
      <c r="A308" s="2"/>
      <c r="B308" s="2"/>
      <c r="C308" s="74"/>
      <c r="D308" s="74"/>
      <c r="E308" s="74"/>
      <c r="F308" s="74"/>
      <c r="G308" s="74"/>
      <c r="H308" s="74"/>
      <c r="I308" s="74"/>
      <c r="J308" s="74"/>
      <c r="K308" s="192"/>
      <c r="L308" s="192"/>
      <c r="M308" s="75"/>
      <c r="N308" s="2"/>
      <c r="O308" s="2"/>
      <c r="P308" s="2"/>
      <c r="Q308" s="2"/>
      <c r="R308" s="2"/>
    </row>
    <row r="309" spans="1:18" x14ac:dyDescent="0.2">
      <c r="A309" s="2"/>
      <c r="B309" s="2"/>
      <c r="C309" s="74"/>
      <c r="D309" s="74"/>
      <c r="E309" s="74"/>
      <c r="F309" s="74"/>
      <c r="G309" s="74"/>
      <c r="H309" s="74"/>
      <c r="I309" s="74"/>
      <c r="J309" s="74"/>
      <c r="K309" s="192"/>
      <c r="L309" s="192"/>
      <c r="M309" s="75"/>
      <c r="N309" s="2"/>
      <c r="O309" s="2"/>
      <c r="P309" s="2"/>
      <c r="Q309" s="2"/>
      <c r="R309" s="2"/>
    </row>
    <row r="310" spans="1:18" x14ac:dyDescent="0.2">
      <c r="A310" s="2"/>
      <c r="B310" s="2"/>
      <c r="C310" s="74"/>
      <c r="D310" s="74"/>
      <c r="E310" s="74"/>
      <c r="F310" s="74"/>
      <c r="G310" s="74"/>
      <c r="H310" s="74"/>
      <c r="I310" s="74"/>
      <c r="J310" s="74"/>
      <c r="K310" s="192"/>
      <c r="L310" s="192"/>
      <c r="M310" s="75"/>
      <c r="N310" s="2"/>
      <c r="O310" s="2"/>
      <c r="P310" s="2"/>
      <c r="Q310" s="2"/>
      <c r="R310" s="2"/>
    </row>
    <row r="311" spans="1:18" x14ac:dyDescent="0.2">
      <c r="A311" s="2"/>
      <c r="B311" s="2"/>
      <c r="C311" s="74"/>
      <c r="D311" s="74"/>
      <c r="E311" s="74"/>
      <c r="F311" s="74"/>
      <c r="G311" s="74"/>
      <c r="H311" s="74"/>
      <c r="I311" s="74"/>
      <c r="J311" s="74"/>
      <c r="K311" s="192"/>
      <c r="L311" s="192"/>
      <c r="M311" s="75"/>
      <c r="N311" s="2"/>
      <c r="O311" s="2"/>
      <c r="P311" s="2"/>
      <c r="Q311" s="2"/>
      <c r="R311" s="2"/>
    </row>
    <row r="312" spans="1:18" x14ac:dyDescent="0.2">
      <c r="A312" s="2"/>
      <c r="B312" s="2"/>
      <c r="C312" s="74"/>
      <c r="D312" s="74"/>
      <c r="E312" s="74"/>
      <c r="F312" s="74"/>
      <c r="G312" s="74"/>
      <c r="H312" s="74"/>
      <c r="I312" s="74"/>
      <c r="J312" s="74"/>
      <c r="K312" s="192"/>
      <c r="L312" s="192"/>
      <c r="M312" s="75"/>
      <c r="N312" s="2"/>
      <c r="O312" s="2"/>
      <c r="P312" s="2"/>
      <c r="Q312" s="2"/>
      <c r="R312" s="2"/>
    </row>
    <row r="313" spans="1:18" x14ac:dyDescent="0.2">
      <c r="A313" s="2"/>
      <c r="B313" s="2"/>
      <c r="C313" s="74"/>
      <c r="D313" s="74"/>
      <c r="E313" s="74"/>
      <c r="F313" s="74"/>
      <c r="G313" s="74"/>
      <c r="H313" s="74"/>
      <c r="I313" s="74"/>
      <c r="J313" s="74"/>
      <c r="K313" s="192"/>
      <c r="L313" s="192"/>
      <c r="M313" s="75"/>
      <c r="N313" s="2"/>
      <c r="O313" s="2"/>
      <c r="P313" s="2"/>
      <c r="Q313" s="2"/>
      <c r="R313" s="2"/>
    </row>
    <row r="314" spans="1:18" x14ac:dyDescent="0.2">
      <c r="A314" s="2"/>
      <c r="B314" s="2"/>
      <c r="C314" s="74"/>
      <c r="D314" s="74"/>
      <c r="E314" s="74"/>
      <c r="F314" s="74"/>
      <c r="G314" s="74"/>
      <c r="H314" s="74"/>
      <c r="I314" s="74"/>
      <c r="J314" s="74"/>
      <c r="K314" s="192"/>
      <c r="L314" s="192"/>
      <c r="M314" s="75"/>
      <c r="N314" s="2"/>
      <c r="O314" s="2"/>
      <c r="P314" s="2"/>
      <c r="Q314" s="2"/>
      <c r="R314" s="2"/>
    </row>
    <row r="315" spans="1:18" x14ac:dyDescent="0.2">
      <c r="A315" s="2"/>
      <c r="B315" s="2"/>
      <c r="C315" s="74"/>
      <c r="D315" s="74"/>
      <c r="E315" s="74"/>
      <c r="F315" s="74"/>
      <c r="G315" s="74"/>
      <c r="H315" s="74"/>
      <c r="I315" s="74"/>
      <c r="J315" s="74"/>
      <c r="K315" s="192"/>
      <c r="L315" s="192"/>
      <c r="M315" s="75"/>
      <c r="N315" s="2"/>
      <c r="O315" s="2"/>
      <c r="P315" s="2"/>
      <c r="Q315" s="2"/>
      <c r="R315" s="2"/>
    </row>
    <row r="316" spans="1:18" x14ac:dyDescent="0.2">
      <c r="A316" s="2"/>
      <c r="B316" s="2"/>
      <c r="C316" s="74"/>
      <c r="D316" s="74"/>
      <c r="E316" s="74"/>
      <c r="F316" s="74"/>
      <c r="G316" s="74"/>
      <c r="H316" s="74"/>
      <c r="I316" s="74"/>
      <c r="J316" s="74"/>
      <c r="K316" s="192"/>
      <c r="L316" s="192"/>
      <c r="M316" s="75"/>
      <c r="N316" s="2"/>
      <c r="O316" s="2"/>
      <c r="P316" s="2"/>
      <c r="Q316" s="2"/>
      <c r="R316" s="2"/>
    </row>
    <row r="317" spans="1:18" x14ac:dyDescent="0.2">
      <c r="A317" s="2"/>
      <c r="B317" s="2"/>
      <c r="C317" s="74"/>
      <c r="D317" s="74"/>
      <c r="E317" s="74"/>
      <c r="F317" s="74"/>
      <c r="G317" s="74"/>
      <c r="H317" s="74"/>
      <c r="I317" s="74"/>
      <c r="J317" s="74"/>
      <c r="K317" s="192"/>
      <c r="L317" s="192"/>
      <c r="M317" s="75"/>
      <c r="N317" s="2"/>
      <c r="O317" s="2"/>
      <c r="P317" s="2"/>
      <c r="Q317" s="2"/>
      <c r="R317" s="2"/>
    </row>
    <row r="318" spans="1:18" x14ac:dyDescent="0.2">
      <c r="A318" s="2"/>
      <c r="B318" s="2"/>
      <c r="C318" s="74"/>
      <c r="D318" s="74"/>
      <c r="E318" s="74"/>
      <c r="F318" s="74"/>
      <c r="G318" s="74"/>
      <c r="H318" s="74"/>
      <c r="I318" s="74"/>
      <c r="J318" s="74"/>
      <c r="K318" s="192"/>
      <c r="L318" s="192"/>
      <c r="M318" s="75"/>
      <c r="N318" s="2"/>
      <c r="O318" s="2"/>
      <c r="P318" s="2"/>
      <c r="Q318" s="2"/>
      <c r="R318" s="2"/>
    </row>
    <row r="319" spans="1:18" x14ac:dyDescent="0.2">
      <c r="A319" s="2"/>
      <c r="B319" s="2"/>
      <c r="C319" s="74"/>
      <c r="D319" s="74"/>
      <c r="E319" s="74"/>
      <c r="F319" s="74"/>
      <c r="G319" s="74"/>
      <c r="H319" s="74"/>
      <c r="I319" s="74"/>
      <c r="J319" s="74"/>
      <c r="K319" s="192"/>
      <c r="L319" s="192"/>
      <c r="M319" s="75"/>
      <c r="N319" s="2"/>
      <c r="O319" s="2"/>
      <c r="P319" s="2"/>
      <c r="Q319" s="2"/>
      <c r="R319" s="2"/>
    </row>
    <row r="320" spans="1:18" x14ac:dyDescent="0.2">
      <c r="A320" s="2"/>
      <c r="B320" s="2"/>
      <c r="C320" s="74"/>
      <c r="D320" s="74"/>
      <c r="E320" s="74"/>
      <c r="F320" s="74"/>
      <c r="G320" s="74"/>
      <c r="H320" s="74"/>
      <c r="I320" s="74"/>
      <c r="J320" s="74"/>
      <c r="K320" s="192"/>
      <c r="L320" s="192"/>
      <c r="M320" s="75"/>
      <c r="N320" s="2"/>
      <c r="O320" s="2"/>
      <c r="P320" s="2"/>
      <c r="Q320" s="2"/>
      <c r="R320" s="2"/>
    </row>
    <row r="321" spans="1:18" x14ac:dyDescent="0.2">
      <c r="A321" s="2"/>
      <c r="B321" s="2"/>
      <c r="C321" s="74"/>
      <c r="D321" s="74"/>
      <c r="E321" s="74"/>
      <c r="F321" s="74"/>
      <c r="G321" s="74"/>
      <c r="H321" s="74"/>
      <c r="I321" s="74"/>
      <c r="J321" s="74"/>
      <c r="K321" s="192"/>
      <c r="L321" s="192"/>
      <c r="M321" s="75"/>
      <c r="N321" s="2"/>
      <c r="O321" s="2"/>
      <c r="P321" s="2"/>
      <c r="Q321" s="2"/>
      <c r="R321" s="2"/>
    </row>
    <row r="322" spans="1:18" x14ac:dyDescent="0.2">
      <c r="A322" s="2"/>
      <c r="B322" s="2"/>
      <c r="C322" s="74"/>
      <c r="D322" s="74"/>
      <c r="E322" s="74"/>
      <c r="F322" s="74"/>
      <c r="G322" s="74"/>
      <c r="H322" s="74"/>
      <c r="I322" s="74"/>
      <c r="J322" s="74"/>
      <c r="K322" s="192"/>
      <c r="L322" s="192"/>
      <c r="M322" s="75"/>
      <c r="N322" s="2"/>
      <c r="O322" s="2"/>
      <c r="P322" s="2"/>
      <c r="Q322" s="2"/>
      <c r="R322" s="2"/>
    </row>
    <row r="323" spans="1:18" x14ac:dyDescent="0.2">
      <c r="A323" s="2"/>
      <c r="B323" s="2"/>
      <c r="C323" s="74"/>
      <c r="D323" s="74"/>
      <c r="E323" s="74"/>
      <c r="F323" s="74"/>
      <c r="G323" s="74"/>
      <c r="H323" s="74"/>
      <c r="I323" s="74"/>
      <c r="J323" s="74"/>
      <c r="K323" s="192"/>
      <c r="L323" s="192"/>
      <c r="M323" s="75"/>
      <c r="N323" s="2"/>
      <c r="O323" s="2"/>
      <c r="P323" s="2"/>
      <c r="Q323" s="2"/>
      <c r="R323" s="2"/>
    </row>
    <row r="324" spans="1:18" x14ac:dyDescent="0.2">
      <c r="A324" s="2"/>
      <c r="B324" s="2"/>
      <c r="C324" s="74"/>
      <c r="D324" s="74"/>
      <c r="E324" s="74"/>
      <c r="F324" s="74"/>
      <c r="G324" s="74"/>
      <c r="H324" s="74"/>
      <c r="I324" s="74"/>
      <c r="J324" s="74"/>
      <c r="K324" s="192"/>
      <c r="L324" s="192"/>
      <c r="M324" s="75"/>
      <c r="N324" s="2"/>
      <c r="O324" s="2"/>
      <c r="P324" s="2"/>
      <c r="Q324" s="2"/>
      <c r="R324" s="2"/>
    </row>
    <row r="325" spans="1:18" x14ac:dyDescent="0.2">
      <c r="A325" s="2"/>
      <c r="B325" s="2"/>
      <c r="C325" s="74"/>
      <c r="D325" s="74"/>
      <c r="E325" s="74"/>
      <c r="F325" s="74"/>
      <c r="G325" s="74"/>
      <c r="H325" s="74"/>
      <c r="I325" s="74"/>
      <c r="J325" s="74"/>
      <c r="K325" s="192"/>
      <c r="L325" s="192"/>
      <c r="M325" s="75"/>
      <c r="N325" s="2"/>
      <c r="O325" s="2"/>
      <c r="P325" s="2"/>
      <c r="Q325" s="2"/>
      <c r="R325" s="2"/>
    </row>
    <row r="326" spans="1:18" x14ac:dyDescent="0.2">
      <c r="A326" s="2"/>
      <c r="B326" s="2"/>
      <c r="C326" s="74"/>
      <c r="D326" s="74"/>
      <c r="E326" s="74"/>
      <c r="F326" s="74"/>
      <c r="G326" s="74"/>
      <c r="H326" s="74"/>
      <c r="I326" s="74"/>
      <c r="J326" s="74"/>
      <c r="K326" s="192"/>
      <c r="L326" s="192"/>
      <c r="M326" s="75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92"/>
      <c r="L327" s="192"/>
      <c r="M327" s="75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92"/>
      <c r="L328" s="192"/>
      <c r="M328" s="75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92"/>
      <c r="L329" s="192"/>
      <c r="M329" s="75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92"/>
      <c r="L330" s="192"/>
      <c r="M330" s="75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92"/>
      <c r="L331" s="192"/>
      <c r="M331" s="75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92"/>
      <c r="L332" s="192"/>
      <c r="M332" s="75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92"/>
      <c r="L333" s="192"/>
      <c r="M333" s="75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92"/>
      <c r="L334" s="192"/>
      <c r="M334" s="75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92"/>
      <c r="L335" s="192"/>
      <c r="M335" s="75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92"/>
      <c r="L336" s="192"/>
      <c r="M336" s="75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92"/>
      <c r="L337" s="192"/>
      <c r="M337" s="75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92"/>
      <c r="L338" s="192"/>
      <c r="M338" s="75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92"/>
      <c r="L339" s="192"/>
      <c r="M339" s="75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92"/>
      <c r="L340" s="192"/>
      <c r="M340" s="75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92"/>
      <c r="L341" s="192"/>
      <c r="M341" s="75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92"/>
      <c r="L342" s="192"/>
      <c r="M342" s="75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92"/>
      <c r="L343" s="192"/>
      <c r="M343" s="75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92"/>
      <c r="L344" s="192"/>
      <c r="M344" s="75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92"/>
      <c r="L345" s="192"/>
      <c r="M345" s="75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92"/>
      <c r="L346" s="192"/>
      <c r="M346" s="75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92"/>
      <c r="L347" s="192"/>
      <c r="M347" s="75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92"/>
      <c r="L348" s="192"/>
      <c r="M348" s="75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92"/>
      <c r="L349" s="192"/>
      <c r="M349" s="75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92"/>
      <c r="L350" s="192"/>
      <c r="M350" s="75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92"/>
      <c r="L351" s="192"/>
      <c r="M351" s="75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92"/>
      <c r="L352" s="192"/>
      <c r="M352" s="75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92"/>
      <c r="L353" s="192"/>
      <c r="M353" s="75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92"/>
      <c r="L354" s="192"/>
      <c r="M354" s="75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92"/>
      <c r="L355" s="192"/>
      <c r="M355" s="75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92"/>
      <c r="L356" s="192"/>
      <c r="M356" s="75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92"/>
      <c r="L357" s="192"/>
      <c r="M357" s="75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92"/>
      <c r="L358" s="192"/>
      <c r="M358" s="75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92"/>
      <c r="L359" s="192"/>
      <c r="M359" s="75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92"/>
      <c r="L360" s="192"/>
      <c r="M360" s="75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92"/>
      <c r="L361" s="192"/>
      <c r="M361" s="75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92"/>
      <c r="L362" s="192"/>
      <c r="M362" s="75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92"/>
      <c r="L363" s="192"/>
      <c r="M363" s="75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92"/>
      <c r="L364" s="192"/>
      <c r="M364" s="75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92"/>
      <c r="L365" s="192"/>
      <c r="M365" s="75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92"/>
      <c r="L366" s="192"/>
      <c r="M366" s="75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92"/>
      <c r="L367" s="192"/>
      <c r="M367" s="75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92"/>
      <c r="L368" s="192"/>
      <c r="M368" s="75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92"/>
      <c r="L369" s="192"/>
      <c r="M369" s="75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92"/>
      <c r="L370" s="192"/>
      <c r="M370" s="75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92"/>
      <c r="L371" s="192"/>
      <c r="M371" s="75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92"/>
      <c r="L372" s="192"/>
      <c r="M372" s="75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92"/>
      <c r="L373" s="192"/>
      <c r="M373" s="75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92"/>
      <c r="L374" s="192"/>
      <c r="M374" s="75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92"/>
      <c r="L375" s="192"/>
      <c r="M375" s="75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92"/>
      <c r="L376" s="192"/>
      <c r="M376" s="75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92"/>
      <c r="L377" s="192"/>
      <c r="M377" s="75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92"/>
      <c r="L378" s="192"/>
      <c r="M378" s="75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92"/>
      <c r="L379" s="192"/>
      <c r="M379" s="75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92"/>
      <c r="L380" s="192"/>
      <c r="M380" s="75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92"/>
      <c r="L381" s="192"/>
      <c r="M381" s="75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92"/>
      <c r="L382" s="192"/>
      <c r="M382" s="75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92"/>
      <c r="L383" s="192"/>
      <c r="M383" s="75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92"/>
      <c r="L384" s="192"/>
      <c r="M384" s="75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92"/>
      <c r="L385" s="192"/>
      <c r="M385" s="75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92"/>
      <c r="L386" s="192"/>
      <c r="M386" s="75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92"/>
      <c r="L387" s="192"/>
      <c r="M387" s="75"/>
      <c r="N387" s="2"/>
      <c r="O387" s="2"/>
      <c r="P387" s="2"/>
      <c r="Q387" s="2"/>
      <c r="R387" s="2"/>
    </row>
    <row r="388" spans="1: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92"/>
      <c r="L388" s="192"/>
      <c r="M388" s="75"/>
      <c r="N388" s="2"/>
      <c r="O388" s="2"/>
      <c r="P388" s="2"/>
      <c r="Q388" s="2"/>
      <c r="R388" s="2"/>
    </row>
    <row r="389" spans="1: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92"/>
      <c r="L389" s="192"/>
      <c r="M389" s="75"/>
      <c r="N389" s="2"/>
      <c r="O389" s="2"/>
      <c r="P389" s="2"/>
      <c r="Q389" s="2"/>
      <c r="R389" s="2"/>
    </row>
    <row r="390" spans="1: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92"/>
      <c r="L390" s="192"/>
      <c r="M390" s="75"/>
      <c r="N390" s="2"/>
      <c r="O390" s="2"/>
      <c r="P390" s="2"/>
      <c r="Q390" s="2"/>
      <c r="R390" s="2"/>
    </row>
    <row r="391" spans="1: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92"/>
      <c r="L391" s="192"/>
      <c r="M391" s="75"/>
      <c r="N391" s="2"/>
      <c r="O391" s="2"/>
      <c r="P391" s="2"/>
      <c r="Q391" s="2"/>
      <c r="R391" s="2"/>
    </row>
    <row r="392" spans="1: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92"/>
      <c r="L392" s="192"/>
      <c r="M392" s="75"/>
      <c r="N392" s="2"/>
      <c r="O392" s="2"/>
      <c r="P392" s="2"/>
      <c r="Q392" s="2"/>
      <c r="R392" s="2"/>
    </row>
    <row r="393" spans="1: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92"/>
      <c r="L393" s="192"/>
      <c r="M393" s="75"/>
      <c r="N393" s="2"/>
      <c r="O393" s="2"/>
      <c r="P393" s="2"/>
      <c r="Q393" s="2"/>
      <c r="R393" s="2"/>
    </row>
    <row r="394" spans="1: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92"/>
      <c r="L394" s="192"/>
      <c r="M394" s="75"/>
      <c r="N394" s="2"/>
      <c r="O394" s="2"/>
      <c r="P394" s="2"/>
      <c r="Q394" s="2"/>
      <c r="R394" s="2"/>
    </row>
    <row r="395" spans="1: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92"/>
      <c r="L395" s="192"/>
      <c r="M395" s="75"/>
      <c r="N395" s="2"/>
      <c r="O395" s="2"/>
      <c r="P395" s="2"/>
      <c r="Q395" s="2"/>
      <c r="R395" s="2"/>
    </row>
    <row r="396" spans="1: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92"/>
      <c r="L396" s="192"/>
      <c r="M396" s="75"/>
      <c r="N396" s="2"/>
      <c r="O396" s="2"/>
      <c r="P396" s="2"/>
      <c r="Q396" s="2"/>
      <c r="R396" s="2"/>
    </row>
    <row r="397" spans="1: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92"/>
      <c r="L397" s="192"/>
      <c r="M397" s="75"/>
      <c r="N397" s="2"/>
      <c r="O397" s="2"/>
      <c r="P397" s="2"/>
      <c r="Q397" s="2"/>
      <c r="R397" s="2"/>
    </row>
    <row r="398" spans="1: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92"/>
      <c r="L398" s="192"/>
      <c r="M398" s="75"/>
      <c r="N398" s="2"/>
      <c r="O398" s="2"/>
      <c r="P398" s="2"/>
      <c r="Q398" s="2"/>
      <c r="R398" s="2"/>
    </row>
    <row r="399" spans="1: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92"/>
      <c r="L399" s="192"/>
      <c r="M399" s="75"/>
      <c r="N399" s="2"/>
      <c r="O399" s="2"/>
      <c r="P399" s="2"/>
      <c r="Q399" s="2"/>
      <c r="R399" s="2"/>
    </row>
    <row r="400" spans="1: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92"/>
      <c r="L400" s="192"/>
      <c r="M400" s="75"/>
      <c r="N400" s="2"/>
      <c r="O400" s="2"/>
      <c r="P400" s="2"/>
      <c r="Q400" s="2"/>
      <c r="R400" s="2"/>
    </row>
    <row r="401" spans="1:1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92"/>
      <c r="L401" s="192"/>
      <c r="M401" s="75"/>
      <c r="N401" s="2"/>
      <c r="O401" s="2"/>
      <c r="P401" s="2"/>
      <c r="Q401" s="2"/>
      <c r="R401" s="2"/>
    </row>
    <row r="402" spans="1:1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92"/>
      <c r="L402" s="192"/>
      <c r="M402" s="75"/>
      <c r="N402" s="2"/>
      <c r="O402" s="2"/>
      <c r="P402" s="2"/>
      <c r="Q402" s="2"/>
      <c r="R402" s="2"/>
    </row>
    <row r="403" spans="1:1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92"/>
      <c r="L403" s="192"/>
      <c r="M403" s="75"/>
      <c r="N403" s="2"/>
      <c r="O403" s="2"/>
      <c r="P403" s="2"/>
      <c r="Q403" s="2"/>
      <c r="R403" s="2"/>
    </row>
    <row r="404" spans="1:1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92"/>
      <c r="L404" s="192"/>
      <c r="M404" s="75"/>
      <c r="N404" s="2"/>
      <c r="O404" s="2"/>
      <c r="P404" s="2"/>
      <c r="Q404" s="2"/>
      <c r="R404" s="2"/>
    </row>
    <row r="405" spans="1:1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92"/>
      <c r="L405" s="192"/>
      <c r="M405" s="75"/>
      <c r="N405" s="2"/>
      <c r="O405" s="2"/>
      <c r="P405" s="2"/>
      <c r="Q405" s="2"/>
      <c r="R405" s="2"/>
    </row>
    <row r="406" spans="1:1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92"/>
      <c r="L406" s="192"/>
      <c r="M406" s="75"/>
      <c r="N406" s="2"/>
      <c r="O406" s="2"/>
      <c r="P406" s="2"/>
      <c r="Q406" s="2"/>
      <c r="R406" s="2"/>
    </row>
    <row r="407" spans="1:1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92"/>
      <c r="L407" s="192"/>
      <c r="M407" s="75"/>
      <c r="N407" s="2"/>
      <c r="O407" s="2"/>
      <c r="P407" s="2"/>
      <c r="Q407" s="2"/>
      <c r="R407" s="2"/>
    </row>
    <row r="408" spans="1:1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92"/>
      <c r="L408" s="192"/>
      <c r="M408" s="75"/>
      <c r="N408" s="2"/>
      <c r="O408" s="2"/>
      <c r="P408" s="2"/>
      <c r="Q408" s="2"/>
      <c r="R408" s="2"/>
    </row>
    <row r="409" spans="1:1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92"/>
      <c r="L409" s="192"/>
      <c r="M409" s="75"/>
      <c r="N409" s="2"/>
      <c r="O409" s="2"/>
      <c r="P409" s="2"/>
      <c r="Q409" s="2"/>
      <c r="R409" s="2"/>
    </row>
    <row r="410" spans="1:1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92"/>
      <c r="L410" s="192"/>
      <c r="M410" s="75"/>
      <c r="N410" s="2"/>
      <c r="O410" s="2"/>
      <c r="P410" s="2"/>
      <c r="Q410" s="2"/>
      <c r="R410" s="2"/>
    </row>
    <row r="411" spans="1:1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92"/>
      <c r="L411" s="192"/>
      <c r="M411" s="75"/>
      <c r="N411" s="2"/>
      <c r="O411" s="2"/>
      <c r="P411" s="2"/>
      <c r="Q411" s="2"/>
      <c r="R411" s="2"/>
    </row>
    <row r="412" spans="1:1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92"/>
      <c r="L412" s="192"/>
      <c r="M412" s="75"/>
      <c r="N412" s="2"/>
      <c r="O412" s="2"/>
      <c r="P412" s="2"/>
      <c r="Q412" s="2"/>
      <c r="R412" s="2"/>
    </row>
    <row r="413" spans="1:1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92"/>
      <c r="L413" s="192"/>
      <c r="M413" s="75"/>
      <c r="N413" s="2"/>
      <c r="O413" s="2"/>
      <c r="P413" s="2"/>
      <c r="Q413" s="2"/>
      <c r="R413" s="2"/>
    </row>
    <row r="414" spans="1:18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92"/>
      <c r="L414" s="192"/>
      <c r="M414" s="75"/>
      <c r="N414" s="2"/>
      <c r="O414" s="2"/>
      <c r="P414" s="2"/>
      <c r="Q414" s="2"/>
      <c r="R414" s="2"/>
    </row>
    <row r="415" spans="1:18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92"/>
      <c r="L415" s="192"/>
      <c r="M415" s="75"/>
      <c r="N415" s="2"/>
      <c r="O415" s="2"/>
      <c r="P415" s="2"/>
      <c r="Q415" s="2"/>
      <c r="R415" s="2"/>
    </row>
    <row r="416" spans="1:18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92"/>
      <c r="L416" s="192"/>
      <c r="M416" s="75"/>
      <c r="N416" s="2"/>
      <c r="O416" s="2"/>
      <c r="P416" s="2"/>
      <c r="Q416" s="2"/>
      <c r="R416" s="2"/>
    </row>
    <row r="417" spans="1:18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92"/>
      <c r="L417" s="192"/>
      <c r="M417" s="75"/>
      <c r="N417" s="2"/>
      <c r="O417" s="2"/>
      <c r="P417" s="2"/>
      <c r="Q417" s="2"/>
      <c r="R417" s="2"/>
    </row>
    <row r="418" spans="1:18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92"/>
      <c r="L418" s="192"/>
      <c r="M418" s="75"/>
      <c r="N418" s="2"/>
      <c r="O418" s="2"/>
      <c r="P418" s="2"/>
      <c r="Q418" s="2"/>
      <c r="R418" s="2"/>
    </row>
    <row r="419" spans="1:18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92"/>
      <c r="L419" s="192"/>
      <c r="M419" s="75"/>
      <c r="N419" s="2"/>
      <c r="O419" s="2"/>
      <c r="P419" s="2"/>
      <c r="Q419" s="2"/>
      <c r="R419" s="2"/>
    </row>
    <row r="420" spans="1:18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92"/>
      <c r="L420" s="192"/>
      <c r="M420" s="75"/>
      <c r="N420" s="2"/>
      <c r="O420" s="2"/>
      <c r="P420" s="2"/>
      <c r="Q420" s="2"/>
      <c r="R420" s="2"/>
    </row>
    <row r="421" spans="1:18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92"/>
      <c r="L421" s="192"/>
      <c r="M421" s="75"/>
      <c r="N421" s="2"/>
      <c r="O421" s="2"/>
      <c r="P421" s="2"/>
      <c r="Q421" s="2"/>
      <c r="R421" s="2"/>
    </row>
    <row r="422" spans="1:18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92"/>
      <c r="L422" s="192"/>
      <c r="M422" s="75"/>
      <c r="N422" s="2"/>
      <c r="O422" s="2"/>
      <c r="P422" s="2"/>
      <c r="Q422" s="2"/>
      <c r="R422" s="2"/>
    </row>
    <row r="423" spans="1:18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92"/>
      <c r="L423" s="192"/>
      <c r="M423" s="75"/>
      <c r="N423" s="2"/>
      <c r="O423" s="2"/>
      <c r="P423" s="2"/>
      <c r="Q423" s="2"/>
      <c r="R423" s="2"/>
    </row>
    <row r="424" spans="1:18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92"/>
      <c r="L424" s="192"/>
      <c r="M424" s="75"/>
      <c r="N424" s="2"/>
      <c r="O424" s="2"/>
      <c r="P424" s="2"/>
      <c r="Q424" s="2"/>
      <c r="R424" s="2"/>
    </row>
    <row r="425" spans="1:18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92"/>
      <c r="L425" s="192"/>
      <c r="M425" s="75"/>
      <c r="N425" s="2"/>
      <c r="O425" s="2"/>
      <c r="P425" s="2"/>
      <c r="Q425" s="2"/>
      <c r="R425" s="2"/>
    </row>
    <row r="426" spans="1:18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92"/>
      <c r="L426" s="192"/>
      <c r="M426" s="75"/>
      <c r="N426" s="2"/>
      <c r="O426" s="2"/>
      <c r="P426" s="2"/>
      <c r="Q426" s="2"/>
      <c r="R426" s="2"/>
    </row>
    <row r="427" spans="1:18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92"/>
      <c r="L427" s="192"/>
      <c r="M427" s="75"/>
      <c r="N427" s="2"/>
      <c r="O427" s="2"/>
      <c r="P427" s="2"/>
      <c r="Q427" s="2"/>
      <c r="R427" s="2"/>
    </row>
    <row r="428" spans="1:18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92"/>
      <c r="L428" s="192"/>
      <c r="M428" s="75"/>
      <c r="N428" s="2"/>
      <c r="O428" s="2"/>
      <c r="P428" s="2"/>
      <c r="Q428" s="2"/>
      <c r="R428" s="2"/>
    </row>
    <row r="429" spans="1:18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92"/>
      <c r="L429" s="192"/>
      <c r="M429" s="75"/>
      <c r="N429" s="2"/>
      <c r="O429" s="2"/>
      <c r="P429" s="2"/>
      <c r="Q429" s="2"/>
      <c r="R429" s="2"/>
    </row>
    <row r="430" spans="1:18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92"/>
      <c r="L430" s="192"/>
      <c r="M430" s="75"/>
      <c r="N430" s="2"/>
      <c r="O430" s="2"/>
      <c r="P430" s="2"/>
      <c r="Q430" s="2"/>
      <c r="R430" s="2"/>
    </row>
    <row r="431" spans="1:18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92"/>
      <c r="L431" s="192"/>
      <c r="M431" s="75"/>
      <c r="N431" s="2"/>
      <c r="O431" s="2"/>
      <c r="P431" s="2"/>
      <c r="Q431" s="2"/>
      <c r="R431" s="2"/>
    </row>
    <row r="432" spans="1:18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92"/>
      <c r="L432" s="192"/>
      <c r="M432" s="75"/>
      <c r="N432" s="2"/>
      <c r="O432" s="2"/>
      <c r="P432" s="2"/>
      <c r="Q432" s="2"/>
      <c r="R432" s="2"/>
    </row>
    <row r="433" spans="1:18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92"/>
      <c r="L433" s="192"/>
      <c r="M433" s="75"/>
      <c r="N433" s="2"/>
      <c r="O433" s="2"/>
      <c r="P433" s="2"/>
      <c r="Q433" s="2"/>
      <c r="R433" s="2"/>
    </row>
    <row r="434" spans="1:18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92"/>
      <c r="L434" s="192"/>
      <c r="M434" s="75"/>
      <c r="N434" s="2"/>
      <c r="O434" s="2"/>
      <c r="P434" s="2"/>
      <c r="Q434" s="2"/>
      <c r="R434" s="2"/>
    </row>
    <row r="435" spans="1:18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92"/>
      <c r="L435" s="192"/>
      <c r="M435" s="75"/>
      <c r="N435" s="2"/>
      <c r="O435" s="2"/>
      <c r="P435" s="2"/>
      <c r="Q435" s="2"/>
      <c r="R435" s="2"/>
    </row>
    <row r="436" spans="1:18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92"/>
      <c r="L436" s="192"/>
      <c r="M436" s="75"/>
      <c r="N436" s="2"/>
      <c r="O436" s="2"/>
      <c r="P436" s="2"/>
      <c r="Q436" s="2"/>
      <c r="R436" s="2"/>
    </row>
    <row r="437" spans="1:18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92"/>
      <c r="L437" s="192"/>
      <c r="M437" s="75"/>
      <c r="N437" s="2"/>
      <c r="O437" s="2"/>
      <c r="P437" s="2"/>
      <c r="Q437" s="2"/>
      <c r="R437" s="2"/>
    </row>
    <row r="438" spans="1:18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92"/>
      <c r="L438" s="192"/>
      <c r="M438" s="75"/>
      <c r="N438" s="2"/>
      <c r="O438" s="2"/>
      <c r="P438" s="2"/>
      <c r="Q438" s="2"/>
      <c r="R438" s="2"/>
    </row>
    <row r="439" spans="1:18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92"/>
      <c r="L439" s="192"/>
      <c r="M439" s="75"/>
      <c r="N439" s="2"/>
      <c r="O439" s="2"/>
      <c r="P439" s="2"/>
      <c r="Q439" s="2"/>
      <c r="R439" s="2"/>
    </row>
    <row r="440" spans="1:18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192"/>
      <c r="L440" s="192"/>
      <c r="M440" s="75"/>
      <c r="N440" s="2"/>
      <c r="O440" s="2"/>
      <c r="P440" s="2"/>
      <c r="Q440" s="2"/>
      <c r="R440" s="2"/>
    </row>
    <row r="441" spans="1:18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192"/>
      <c r="L441" s="192"/>
      <c r="M441" s="75"/>
      <c r="N441" s="2"/>
      <c r="O441" s="2"/>
      <c r="P441" s="2"/>
      <c r="Q441" s="2"/>
      <c r="R441" s="2"/>
    </row>
    <row r="442" spans="1:18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192"/>
      <c r="L442" s="192"/>
      <c r="M442" s="75"/>
      <c r="N442" s="2"/>
      <c r="O442" s="2"/>
      <c r="P442" s="2"/>
      <c r="Q442" s="2"/>
      <c r="R442" s="2"/>
    </row>
    <row r="443" spans="1:18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192"/>
      <c r="L443" s="192"/>
      <c r="M443" s="75"/>
      <c r="N443" s="2"/>
      <c r="O443" s="2"/>
      <c r="P443" s="2"/>
      <c r="Q443" s="2"/>
      <c r="R443" s="2"/>
    </row>
    <row r="444" spans="1:18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192"/>
      <c r="L444" s="192"/>
      <c r="M444" s="75"/>
      <c r="N444" s="2"/>
      <c r="O444" s="2"/>
      <c r="P444" s="2"/>
      <c r="Q444" s="2"/>
      <c r="R444" s="2"/>
    </row>
    <row r="445" spans="1:18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192"/>
      <c r="L445" s="192"/>
      <c r="M445" s="75"/>
      <c r="N445" s="2"/>
      <c r="O445" s="2"/>
      <c r="P445" s="2"/>
      <c r="Q445" s="2"/>
      <c r="R445" s="2"/>
    </row>
    <row r="446" spans="1:18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192"/>
      <c r="L446" s="192"/>
      <c r="M446" s="75"/>
      <c r="N446" s="2"/>
      <c r="O446" s="2"/>
      <c r="P446" s="2"/>
      <c r="Q446" s="2"/>
      <c r="R446" s="2"/>
    </row>
    <row r="447" spans="1:18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192"/>
      <c r="L447" s="192"/>
      <c r="M447" s="75"/>
      <c r="N447" s="2"/>
      <c r="O447" s="2"/>
      <c r="P447" s="2"/>
      <c r="Q447" s="2"/>
      <c r="R447" s="2"/>
    </row>
    <row r="448" spans="1:18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192"/>
      <c r="L448" s="192"/>
      <c r="M448" s="75"/>
      <c r="N448" s="2"/>
      <c r="O448" s="2"/>
      <c r="P448" s="2"/>
      <c r="Q448" s="2"/>
      <c r="R448" s="2"/>
    </row>
    <row r="449" spans="1:18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192"/>
      <c r="L449" s="192"/>
      <c r="M449" s="75"/>
      <c r="N449" s="2"/>
      <c r="O449" s="2"/>
      <c r="P449" s="2"/>
      <c r="Q449" s="2"/>
      <c r="R449" s="2"/>
    </row>
    <row r="450" spans="1:18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192"/>
      <c r="L450" s="192"/>
      <c r="M450" s="75"/>
      <c r="N450" s="2"/>
      <c r="O450" s="2"/>
      <c r="P450" s="2"/>
      <c r="Q450" s="2"/>
      <c r="R450" s="2"/>
    </row>
    <row r="451" spans="1:18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192"/>
      <c r="L451" s="192"/>
      <c r="M451" s="75"/>
      <c r="N451" s="2"/>
      <c r="O451" s="2"/>
      <c r="P451" s="2"/>
      <c r="Q451" s="2"/>
      <c r="R451" s="2"/>
    </row>
    <row r="452" spans="1:18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192"/>
      <c r="L452" s="192"/>
      <c r="M452" s="75"/>
      <c r="N452" s="2"/>
      <c r="O452" s="2"/>
      <c r="P452" s="2"/>
      <c r="Q452" s="2"/>
      <c r="R452" s="2"/>
    </row>
  </sheetData>
  <phoneticPr fontId="0" type="noConversion"/>
  <printOptions horizontalCentered="1"/>
  <pageMargins left="0.45" right="0.25" top="0.31944444444444398" bottom="0.2" header="0.5" footer="0.5"/>
  <pageSetup scale="62" orientation="landscape" r:id="rId1"/>
  <headerFooter alignWithMargins="0"/>
  <rowBreaks count="3" manualBreakCount="3">
    <brk id="59" max="12" man="1"/>
    <brk id="111" max="12" man="1"/>
    <brk id="16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OutlineSymbols="0" zoomScaleNormal="100" workbookViewId="0">
      <selection activeCell="A4" sqref="A4"/>
    </sheetView>
  </sheetViews>
  <sheetFormatPr defaultColWidth="9.6640625" defaultRowHeight="15" x14ac:dyDescent="0.2"/>
  <cols>
    <col min="1" max="1" width="10.21875" style="80" customWidth="1"/>
    <col min="2" max="2" width="9.77734375" style="80" customWidth="1"/>
    <col min="3" max="3" width="16.109375" style="80" customWidth="1"/>
    <col min="4" max="4" width="26.21875" style="80" customWidth="1"/>
    <col min="5" max="6" width="13.6640625" style="80" customWidth="1"/>
    <col min="7" max="7" width="16" style="80" customWidth="1"/>
    <col min="8" max="8" width="12.44140625" style="80" customWidth="1"/>
    <col min="9" max="9" width="15.88671875" style="80" customWidth="1"/>
    <col min="10" max="10" width="14.6640625" style="80" customWidth="1"/>
    <col min="11" max="11" width="11.5546875" style="80" customWidth="1"/>
    <col min="12" max="12" width="12.77734375" style="80" customWidth="1"/>
    <col min="13" max="13" width="14.5546875" style="80" customWidth="1"/>
    <col min="14" max="14" width="10.109375" style="80" customWidth="1"/>
    <col min="15" max="15" width="13.44140625" style="80" customWidth="1"/>
    <col min="16" max="16" width="3.77734375" style="80" customWidth="1"/>
    <col min="17" max="16384" width="9.6640625" style="80"/>
  </cols>
  <sheetData>
    <row r="1" spans="1:16" ht="23.25" x14ac:dyDescent="0.35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ht="23.25" x14ac:dyDescent="0.35">
      <c r="A2" s="78" t="s">
        <v>21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23.25" x14ac:dyDescent="0.35">
      <c r="A3" s="282" t="s">
        <v>74</v>
      </c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23.25" x14ac:dyDescent="0.35">
      <c r="A4" s="78"/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 ht="24" thickBot="1" x14ac:dyDescent="0.4">
      <c r="A5" s="78" t="s">
        <v>22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 ht="16.5" thickTop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 t="s">
        <v>23</v>
      </c>
      <c r="P6" s="83"/>
    </row>
    <row r="7" spans="1:16" ht="15.75" x14ac:dyDescent="0.25">
      <c r="A7" s="105" t="s">
        <v>24</v>
      </c>
      <c r="B7" s="84" t="s">
        <v>13</v>
      </c>
      <c r="C7" s="84" t="s">
        <v>15</v>
      </c>
      <c r="D7" s="84" t="s">
        <v>62</v>
      </c>
      <c r="E7" s="275" t="s">
        <v>55</v>
      </c>
      <c r="F7" s="84" t="s">
        <v>60</v>
      </c>
      <c r="G7" s="84" t="s">
        <v>63</v>
      </c>
      <c r="H7" s="84" t="s">
        <v>68</v>
      </c>
      <c r="I7" s="84" t="s">
        <v>70</v>
      </c>
      <c r="J7" s="84" t="s">
        <v>25</v>
      </c>
      <c r="K7" s="84" t="s">
        <v>52</v>
      </c>
      <c r="L7" s="84" t="s">
        <v>50</v>
      </c>
      <c r="M7" s="84" t="s">
        <v>17</v>
      </c>
      <c r="N7" s="84" t="s">
        <v>51</v>
      </c>
      <c r="O7" s="84" t="s">
        <v>26</v>
      </c>
      <c r="P7" s="83"/>
    </row>
    <row r="8" spans="1:16" ht="16.5" thickBot="1" x14ac:dyDescent="0.3">
      <c r="A8" s="85"/>
      <c r="B8" s="85"/>
      <c r="C8" s="85"/>
      <c r="D8" s="85"/>
      <c r="E8" s="276"/>
      <c r="F8" s="85"/>
      <c r="G8" s="85"/>
      <c r="H8" s="85"/>
      <c r="I8" s="85"/>
      <c r="J8" s="85"/>
      <c r="K8" s="85"/>
      <c r="L8" s="85"/>
      <c r="M8" s="85"/>
      <c r="N8" s="85"/>
      <c r="O8" s="85"/>
      <c r="P8" s="83"/>
    </row>
    <row r="9" spans="1:16" ht="15.75" thickTop="1" x14ac:dyDescent="0.2">
      <c r="A9" s="86"/>
      <c r="B9" s="86"/>
      <c r="C9" s="86"/>
      <c r="D9" s="86"/>
      <c r="E9" s="87"/>
      <c r="F9" s="87"/>
      <c r="G9" s="87"/>
      <c r="H9" s="87"/>
      <c r="I9" s="87"/>
      <c r="J9" s="86"/>
      <c r="K9" s="86"/>
      <c r="L9" s="86"/>
      <c r="M9" s="86"/>
      <c r="N9" s="86"/>
      <c r="O9" s="86"/>
      <c r="P9" s="83"/>
    </row>
    <row r="10" spans="1:16" ht="15.75" x14ac:dyDescent="0.25">
      <c r="A10" s="88">
        <f>DATE(2022,7,1)</f>
        <v>44743</v>
      </c>
      <c r="B10" s="89">
        <f>'MONTHLY STATS'!$C$9*2</f>
        <v>435886</v>
      </c>
      <c r="C10" s="89">
        <f>'MONTHLY STATS'!$C$22*2</f>
        <v>229430</v>
      </c>
      <c r="D10" s="89">
        <f>'MONTHLY STATS'!$C$35*2</f>
        <v>113088</v>
      </c>
      <c r="E10" s="89">
        <f>'MONTHLY STATS'!$C$48*2</f>
        <v>655394</v>
      </c>
      <c r="F10" s="89">
        <f>'MONTHLY STATS'!$C$61*2</f>
        <v>438260</v>
      </c>
      <c r="G10" s="89">
        <f>'MONTHLY STATS'!$C$74*2</f>
        <v>190536</v>
      </c>
      <c r="H10" s="89">
        <f>'MONTHLY STATS'!$C$87*2</f>
        <v>441192</v>
      </c>
      <c r="I10" s="89">
        <f>'MONTHLY STATS'!$C$100*2</f>
        <v>452600</v>
      </c>
      <c r="J10" s="89">
        <f>'MONTHLY STATS'!$C$113*2</f>
        <v>542674</v>
      </c>
      <c r="K10" s="89">
        <f>'MONTHLY STATS'!$C$126*2</f>
        <v>717812</v>
      </c>
      <c r="L10" s="89">
        <f>'MONTHLY STATS'!$C$139*2</f>
        <v>91486</v>
      </c>
      <c r="M10" s="89">
        <f>'MONTHLY STATS'!$C$152*2</f>
        <v>753070</v>
      </c>
      <c r="N10" s="89">
        <f>'MONTHLY STATS'!$C$165*2</f>
        <v>137556</v>
      </c>
      <c r="O10" s="90">
        <f t="shared" ref="O10:O15" si="0">SUM(B10:N10)</f>
        <v>5198984</v>
      </c>
      <c r="P10" s="83"/>
    </row>
    <row r="11" spans="1:16" ht="15.75" x14ac:dyDescent="0.25">
      <c r="A11" s="88">
        <f>DATE(2022,8,1)</f>
        <v>44774</v>
      </c>
      <c r="B11" s="89">
        <f>'MONTHLY STATS'!$C$10*2</f>
        <v>398888</v>
      </c>
      <c r="C11" s="89">
        <f>'MONTHLY STATS'!$C$23*2</f>
        <v>207568</v>
      </c>
      <c r="D11" s="89">
        <f>'MONTHLY STATS'!$C$36*2</f>
        <v>99338</v>
      </c>
      <c r="E11" s="89">
        <f>'MONTHLY STATS'!$C$49*2</f>
        <v>605550</v>
      </c>
      <c r="F11" s="89">
        <f>'MONTHLY STATS'!$C$62*2</f>
        <v>408762</v>
      </c>
      <c r="G11" s="89">
        <f>'MONTHLY STATS'!$C$75*2</f>
        <v>170414</v>
      </c>
      <c r="H11" s="89">
        <f>'MONTHLY STATS'!$C$88*2</f>
        <v>408416</v>
      </c>
      <c r="I11" s="89">
        <f>'MONTHLY STATS'!$C$101*2</f>
        <v>465170</v>
      </c>
      <c r="J11" s="89">
        <f>'MONTHLY STATS'!$C$114*2</f>
        <v>489244</v>
      </c>
      <c r="K11" s="89">
        <f>'MONTHLY STATS'!$C$127*2</f>
        <v>664780</v>
      </c>
      <c r="L11" s="89">
        <f>'MONTHLY STATS'!$C$140*2</f>
        <v>81956</v>
      </c>
      <c r="M11" s="89">
        <f>'MONTHLY STATS'!$C$153*2</f>
        <v>697450</v>
      </c>
      <c r="N11" s="89">
        <f>'MONTHLY STATS'!$C$166*2</f>
        <v>123464</v>
      </c>
      <c r="O11" s="90">
        <f t="shared" si="0"/>
        <v>4821000</v>
      </c>
      <c r="P11" s="83"/>
    </row>
    <row r="12" spans="1:16" ht="15.75" x14ac:dyDescent="0.25">
      <c r="A12" s="88">
        <f>DATE(2022,9,1)</f>
        <v>44805</v>
      </c>
      <c r="B12" s="89">
        <f>'MONTHLY STATS'!$C$11*2</f>
        <v>381706</v>
      </c>
      <c r="C12" s="89">
        <f>'MONTHLY STATS'!$C$24*2</f>
        <v>215022</v>
      </c>
      <c r="D12" s="89">
        <f>'MONTHLY STATS'!$C$37*2</f>
        <v>101046</v>
      </c>
      <c r="E12" s="89">
        <f>'MONTHLY STATS'!$C$50*2</f>
        <v>599172</v>
      </c>
      <c r="F12" s="89">
        <f>'MONTHLY STATS'!$C$63*2</f>
        <v>391758</v>
      </c>
      <c r="G12" s="89">
        <f>'MONTHLY STATS'!$C$76*2</f>
        <v>168642</v>
      </c>
      <c r="H12" s="89">
        <f>'MONTHLY STATS'!$C$89*2</f>
        <v>405278</v>
      </c>
      <c r="I12" s="89">
        <f>'MONTHLY STATS'!$C$102*2</f>
        <v>459598</v>
      </c>
      <c r="J12" s="89">
        <f>'MONTHLY STATS'!$C$115*2</f>
        <v>476474</v>
      </c>
      <c r="K12" s="89">
        <f>'MONTHLY STATS'!$C$128*2</f>
        <v>666202</v>
      </c>
      <c r="L12" s="89">
        <f>'MONTHLY STATS'!$C$141*2</f>
        <v>83392</v>
      </c>
      <c r="M12" s="89">
        <f>'MONTHLY STATS'!$C$154*2</f>
        <v>703546</v>
      </c>
      <c r="N12" s="89">
        <f>'MONTHLY STATS'!$C$167*2</f>
        <v>125576</v>
      </c>
      <c r="O12" s="90">
        <f t="shared" si="0"/>
        <v>4777412</v>
      </c>
      <c r="P12" s="83"/>
    </row>
    <row r="13" spans="1:16" ht="15.75" x14ac:dyDescent="0.25">
      <c r="A13" s="88">
        <f>DATE(2022,10,1)</f>
        <v>44835</v>
      </c>
      <c r="B13" s="89">
        <f>'MONTHLY STATS'!$C$12*2</f>
        <v>383996</v>
      </c>
      <c r="C13" s="89">
        <f>'MONTHLY STATS'!$C$25*2</f>
        <v>208980</v>
      </c>
      <c r="D13" s="89">
        <f>'MONTHLY STATS'!$C$38*2</f>
        <v>94946</v>
      </c>
      <c r="E13" s="89">
        <f>'MONTHLY STATS'!$C$51*2</f>
        <v>561802</v>
      </c>
      <c r="F13" s="89">
        <f>'MONTHLY STATS'!$C$64*2</f>
        <v>395358</v>
      </c>
      <c r="G13" s="89">
        <f>'MONTHLY STATS'!$C$77*2</f>
        <v>170454</v>
      </c>
      <c r="H13" s="89">
        <f>'MONTHLY STATS'!$C$90*2</f>
        <v>395610</v>
      </c>
      <c r="I13" s="89">
        <f>'MONTHLY STATS'!$C$103*2</f>
        <v>425400</v>
      </c>
      <c r="J13" s="89">
        <f>'MONTHLY STATS'!$C$116*2</f>
        <v>486336</v>
      </c>
      <c r="K13" s="89">
        <f>'MONTHLY STATS'!$C$129*2</f>
        <v>674528</v>
      </c>
      <c r="L13" s="89">
        <f>'MONTHLY STATS'!$C$142*2</f>
        <v>81426</v>
      </c>
      <c r="M13" s="89">
        <f>'MONTHLY STATS'!$C$155*2</f>
        <v>706822</v>
      </c>
      <c r="N13" s="89">
        <f>'MONTHLY STATS'!$C$168*2</f>
        <v>124844</v>
      </c>
      <c r="O13" s="90">
        <f t="shared" si="0"/>
        <v>4710502</v>
      </c>
      <c r="P13" s="83"/>
    </row>
    <row r="14" spans="1:16" ht="15.75" x14ac:dyDescent="0.25">
      <c r="A14" s="88">
        <f>DATE(2022,11,1)</f>
        <v>44866</v>
      </c>
      <c r="B14" s="89">
        <f>'MONTHLY STATS'!$C$13*2</f>
        <v>362658</v>
      </c>
      <c r="C14" s="89">
        <f>'MONTHLY STATS'!$C$26*2</f>
        <v>187356</v>
      </c>
      <c r="D14" s="89">
        <f>'MONTHLY STATS'!$C$39*2</f>
        <v>78850</v>
      </c>
      <c r="E14" s="89">
        <f>'MONTHLY STATS'!$C$52*2</f>
        <v>555404</v>
      </c>
      <c r="F14" s="89">
        <f>'MONTHLY STATS'!$C$65*2</f>
        <v>383954</v>
      </c>
      <c r="G14" s="89">
        <f>'MONTHLY STATS'!$C$78*2</f>
        <v>153436</v>
      </c>
      <c r="H14" s="89">
        <f>'MONTHLY STATS'!$C$91*2</f>
        <v>404852</v>
      </c>
      <c r="I14" s="89">
        <f>'MONTHLY STATS'!$C$104*2</f>
        <v>383016</v>
      </c>
      <c r="J14" s="89">
        <f>'MONTHLY STATS'!$C$117*2</f>
        <v>436800</v>
      </c>
      <c r="K14" s="89">
        <f>'MONTHLY STATS'!$C$130*2</f>
        <v>671952</v>
      </c>
      <c r="L14" s="89">
        <f>'MONTHLY STATS'!$C$143*2</f>
        <v>74466</v>
      </c>
      <c r="M14" s="89">
        <f>'MONTHLY STATS'!$C$156*2</f>
        <v>649894</v>
      </c>
      <c r="N14" s="89">
        <f>'MONTHLY STATS'!$C$169*2</f>
        <v>116012</v>
      </c>
      <c r="O14" s="90">
        <f t="shared" si="0"/>
        <v>4458650</v>
      </c>
      <c r="P14" s="83"/>
    </row>
    <row r="15" spans="1:16" ht="15.75" x14ac:dyDescent="0.25">
      <c r="A15" s="88">
        <f>DATE(2022,12,1)</f>
        <v>44896</v>
      </c>
      <c r="B15" s="89">
        <f>'MONTHLY STATS'!$C$14*2</f>
        <v>396342</v>
      </c>
      <c r="C15" s="89">
        <f>'MONTHLY STATS'!$C$27*2</f>
        <v>204072</v>
      </c>
      <c r="D15" s="89">
        <f>'MONTHLY STATS'!$C$40*2</f>
        <v>86630</v>
      </c>
      <c r="E15" s="89">
        <f>'MONTHLY STATS'!$C$53*2</f>
        <v>605020</v>
      </c>
      <c r="F15" s="89">
        <f>'MONTHLY STATS'!$C$66*2</f>
        <v>386490</v>
      </c>
      <c r="G15" s="89">
        <f>'MONTHLY STATS'!$C$79*2</f>
        <v>179306</v>
      </c>
      <c r="H15" s="89">
        <f>'MONTHLY STATS'!$C$92*2</f>
        <v>446446</v>
      </c>
      <c r="I15" s="89">
        <f>'MONTHLY STATS'!$C$105*2</f>
        <v>428294</v>
      </c>
      <c r="J15" s="89">
        <f>'MONTHLY STATS'!$C$118*2</f>
        <v>501530</v>
      </c>
      <c r="K15" s="89">
        <f>'MONTHLY STATS'!$C$131*2</f>
        <v>731152</v>
      </c>
      <c r="L15" s="89">
        <f>'MONTHLY STATS'!$C$144*2</f>
        <v>77776</v>
      </c>
      <c r="M15" s="89">
        <f>'MONTHLY STATS'!$C$157*2</f>
        <v>725434</v>
      </c>
      <c r="N15" s="89">
        <f>'MONTHLY STATS'!$C$170*2</f>
        <v>128512</v>
      </c>
      <c r="O15" s="90">
        <f t="shared" si="0"/>
        <v>4897004</v>
      </c>
      <c r="P15" s="83"/>
    </row>
    <row r="16" spans="1:16" ht="15.75" x14ac:dyDescent="0.25">
      <c r="A16" s="88">
        <f>DATE(2023,1,1)</f>
        <v>44927</v>
      </c>
      <c r="B16" s="89">
        <f>'MONTHLY STATS'!$C$15*2</f>
        <v>394006</v>
      </c>
      <c r="C16" s="89">
        <f>'MONTHLY STATS'!$C$28*2</f>
        <v>196502</v>
      </c>
      <c r="D16" s="89">
        <f>'MONTHLY STATS'!$C$41*2</f>
        <v>101620</v>
      </c>
      <c r="E16" s="89">
        <f>'MONTHLY STATS'!$C$54*2</f>
        <v>607664</v>
      </c>
      <c r="F16" s="89">
        <f>'MONTHLY STATS'!$C$67*2</f>
        <v>373762</v>
      </c>
      <c r="G16" s="89">
        <f>'MONTHLY STATS'!$C$80*2</f>
        <v>168828</v>
      </c>
      <c r="H16" s="89">
        <f>'MONTHLY STATS'!$C$93*2</f>
        <v>430248</v>
      </c>
      <c r="I16" s="89">
        <f>'MONTHLY STATS'!$C$106*2</f>
        <v>407378</v>
      </c>
      <c r="J16" s="89">
        <f>'MONTHLY STATS'!$C$119*2</f>
        <v>485444</v>
      </c>
      <c r="K16" s="89">
        <f>'MONTHLY STATS'!$C$132*2</f>
        <v>684710</v>
      </c>
      <c r="L16" s="89">
        <f>'MONTHLY STATS'!$C$145*2</f>
        <v>79348</v>
      </c>
      <c r="M16" s="89">
        <f>'MONTHLY STATS'!$C$158*2</f>
        <v>687640</v>
      </c>
      <c r="N16" s="89">
        <f>'MONTHLY STATS'!$C$171*2</f>
        <v>118868</v>
      </c>
      <c r="O16" s="90">
        <f>SUM(B16:N16)</f>
        <v>4736018</v>
      </c>
      <c r="P16" s="83"/>
    </row>
    <row r="17" spans="1:16" ht="15.75" x14ac:dyDescent="0.25">
      <c r="A17" s="88">
        <f>DATE(2023,2,1)</f>
        <v>44958</v>
      </c>
      <c r="B17" s="89">
        <f>'MONTHLY STATS'!$C$16*2</f>
        <v>382576</v>
      </c>
      <c r="C17" s="89">
        <f>'MONTHLY STATS'!$C$29*2</f>
        <v>208520</v>
      </c>
      <c r="D17" s="89">
        <f>'MONTHLY STATS'!$C$42*2</f>
        <v>114614</v>
      </c>
      <c r="E17" s="89">
        <f>'MONTHLY STATS'!$C$55*2</f>
        <v>621012</v>
      </c>
      <c r="F17" s="89">
        <f>'MONTHLY STATS'!$C$68*2</f>
        <v>365396</v>
      </c>
      <c r="G17" s="89">
        <f>'MONTHLY STATS'!$C$81*2</f>
        <v>179058</v>
      </c>
      <c r="H17" s="89">
        <f>'MONTHLY STATS'!$C$94*2</f>
        <v>401592</v>
      </c>
      <c r="I17" s="89">
        <f>'MONTHLY STATS'!$C$107*2</f>
        <v>415814</v>
      </c>
      <c r="J17" s="89">
        <f>'MONTHLY STATS'!$C$120*2</f>
        <v>477836</v>
      </c>
      <c r="K17" s="89">
        <f>'MONTHLY STATS'!$C$133*2</f>
        <v>674256</v>
      </c>
      <c r="L17" s="89">
        <f>'MONTHLY STATS'!$C$146*2</f>
        <v>88516</v>
      </c>
      <c r="M17" s="89">
        <f>'MONTHLY STATS'!$C$159*2</f>
        <v>681460</v>
      </c>
      <c r="N17" s="89">
        <f>'MONTHLY STATS'!$C$172*2</f>
        <v>131774</v>
      </c>
      <c r="O17" s="90">
        <f>SUM(B17:N17)</f>
        <v>4742424</v>
      </c>
      <c r="P17" s="83"/>
    </row>
    <row r="18" spans="1:16" ht="15.75" x14ac:dyDescent="0.25">
      <c r="A18" s="88">
        <f>DATE(2023,3,1)</f>
        <v>44986</v>
      </c>
      <c r="B18" s="89">
        <f>'MONTHLY STATS'!$C$17*2</f>
        <v>435594</v>
      </c>
      <c r="C18" s="89">
        <f>'MONTHLY STATS'!$C$30*2</f>
        <v>218420</v>
      </c>
      <c r="D18" s="89">
        <f>'MONTHLY STATS'!$C$43*2</f>
        <v>125028</v>
      </c>
      <c r="E18" s="89">
        <f>'MONTHLY STATS'!$C$56*2</f>
        <v>701066</v>
      </c>
      <c r="F18" s="89">
        <f>'MONTHLY STATS'!$C$69*2</f>
        <v>424982</v>
      </c>
      <c r="G18" s="89">
        <f>'MONTHLY STATS'!$C$82*2</f>
        <v>194636</v>
      </c>
      <c r="H18" s="89">
        <f>'MONTHLY STATS'!$C$95*2</f>
        <v>450808</v>
      </c>
      <c r="I18" s="89">
        <f>'MONTHLY STATS'!$C$108*2</f>
        <v>463800</v>
      </c>
      <c r="J18" s="89">
        <f>'MONTHLY STATS'!$C$121*2</f>
        <v>551698</v>
      </c>
      <c r="K18" s="89">
        <f>'MONTHLY STATS'!$C$134*2</f>
        <v>757796</v>
      </c>
      <c r="L18" s="89">
        <f>'MONTHLY STATS'!$C$147*2</f>
        <v>93564</v>
      </c>
      <c r="M18" s="89">
        <f>'MONTHLY STATS'!$C$160*2</f>
        <v>715676</v>
      </c>
      <c r="N18" s="89">
        <f>'MONTHLY STATS'!$C$173*2</f>
        <v>150416</v>
      </c>
      <c r="O18" s="90">
        <f>SUM(B18:N18)</f>
        <v>5283484</v>
      </c>
      <c r="P18" s="83"/>
    </row>
    <row r="19" spans="1:16" ht="15.75" x14ac:dyDescent="0.25">
      <c r="A19" s="88">
        <f>DATE(2023,4,1)</f>
        <v>45017</v>
      </c>
      <c r="B19" s="89">
        <f>'MONTHLY STATS'!$C$18*2</f>
        <v>396130</v>
      </c>
      <c r="C19" s="89">
        <f>'MONTHLY STATS'!$C$31*2</f>
        <v>208910</v>
      </c>
      <c r="D19" s="89">
        <f>'MONTHLY STATS'!$C$44*2</f>
        <v>115776</v>
      </c>
      <c r="E19" s="89">
        <f>'MONTHLY STATS'!$C$57*2</f>
        <v>632056</v>
      </c>
      <c r="F19" s="89">
        <f>'MONTHLY STATS'!$C$70*2</f>
        <v>385550</v>
      </c>
      <c r="G19" s="89">
        <f>'MONTHLY STATS'!$C$83*2</f>
        <v>172802</v>
      </c>
      <c r="H19" s="89">
        <f>'MONTHLY STATS'!$C$96*2</f>
        <v>416888</v>
      </c>
      <c r="I19" s="89">
        <f>'MONTHLY STATS'!$C$109*2</f>
        <v>431050</v>
      </c>
      <c r="J19" s="89">
        <f>'MONTHLY STATS'!$C$122*2</f>
        <v>512682</v>
      </c>
      <c r="K19" s="89">
        <f>'MONTHLY STATS'!$C$135*2</f>
        <v>709310</v>
      </c>
      <c r="L19" s="89">
        <f>'MONTHLY STATS'!$C$148*2</f>
        <v>89310</v>
      </c>
      <c r="M19" s="89">
        <f>'MONTHLY STATS'!$C$161*2</f>
        <v>669164</v>
      </c>
      <c r="N19" s="89">
        <f>'MONTHLY STATS'!$C$174*2</f>
        <v>137760</v>
      </c>
      <c r="O19" s="90">
        <f>SUM(B19:N19)</f>
        <v>4877388</v>
      </c>
      <c r="P19" s="83"/>
    </row>
    <row r="20" spans="1:16" ht="15.75" x14ac:dyDescent="0.25">
      <c r="A20" s="88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90"/>
      <c r="P20" s="83"/>
    </row>
    <row r="21" spans="1:16" ht="15.75" x14ac:dyDescent="0.2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90"/>
      <c r="P21" s="83"/>
    </row>
    <row r="22" spans="1:16" ht="15.75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  <c r="P22" s="83"/>
    </row>
    <row r="23" spans="1:16" ht="15.75" x14ac:dyDescent="0.25">
      <c r="A23" s="91" t="s">
        <v>27</v>
      </c>
      <c r="B23" s="90">
        <f t="shared" ref="B23:O23" si="1">SUM(B10:B21)</f>
        <v>3967782</v>
      </c>
      <c r="C23" s="90">
        <f t="shared" si="1"/>
        <v>2084780</v>
      </c>
      <c r="D23" s="90">
        <f t="shared" si="1"/>
        <v>1030936</v>
      </c>
      <c r="E23" s="90">
        <f t="shared" si="1"/>
        <v>6144140</v>
      </c>
      <c r="F23" s="90">
        <f t="shared" si="1"/>
        <v>3954272</v>
      </c>
      <c r="G23" s="90">
        <f>SUM(G10:G21)</f>
        <v>1748112</v>
      </c>
      <c r="H23" s="90">
        <f t="shared" si="1"/>
        <v>4201330</v>
      </c>
      <c r="I23" s="90">
        <f>SUM(I10:I21)</f>
        <v>4332120</v>
      </c>
      <c r="J23" s="90">
        <f t="shared" si="1"/>
        <v>4960718</v>
      </c>
      <c r="K23" s="90">
        <f>SUM(K10:K21)</f>
        <v>6952498</v>
      </c>
      <c r="L23" s="90">
        <f t="shared" si="1"/>
        <v>841240</v>
      </c>
      <c r="M23" s="90">
        <f t="shared" si="1"/>
        <v>6990156</v>
      </c>
      <c r="N23" s="90">
        <f t="shared" si="1"/>
        <v>1294782</v>
      </c>
      <c r="O23" s="90">
        <f t="shared" si="1"/>
        <v>48502866</v>
      </c>
      <c r="P23" s="83"/>
    </row>
    <row r="24" spans="1:16" ht="16.5" thickBot="1" x14ac:dyDescent="0.3">
      <c r="A24" s="92"/>
      <c r="B24" s="90"/>
      <c r="C24" s="90"/>
      <c r="D24" s="90"/>
      <c r="E24" s="89"/>
      <c r="F24" s="89"/>
      <c r="G24" s="89"/>
      <c r="H24" s="89"/>
      <c r="I24" s="89"/>
      <c r="J24" s="90"/>
      <c r="K24" s="90"/>
      <c r="L24" s="90"/>
      <c r="M24" s="90"/>
      <c r="N24" s="90"/>
      <c r="O24" s="90"/>
      <c r="P24" s="83"/>
    </row>
    <row r="25" spans="1:16" ht="15.75" thickTop="1" x14ac:dyDescent="0.2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5"/>
      <c r="L25" s="95"/>
      <c r="M25" s="95"/>
      <c r="N25" s="95"/>
      <c r="O25" s="95"/>
    </row>
    <row r="26" spans="1:16" ht="24" thickBot="1" x14ac:dyDescent="0.4">
      <c r="A26" s="96" t="s">
        <v>28</v>
      </c>
      <c r="B26" s="97"/>
      <c r="C26" s="98"/>
      <c r="D26" s="98"/>
      <c r="E26" s="98"/>
      <c r="F26" s="98"/>
      <c r="G26" s="98"/>
      <c r="H26" s="98"/>
      <c r="I26" s="98"/>
      <c r="J26" s="98"/>
      <c r="K26" s="99"/>
      <c r="L26" s="99"/>
      <c r="M26" s="99"/>
      <c r="N26" s="99"/>
      <c r="O26" s="99"/>
    </row>
    <row r="27" spans="1:16" ht="16.5" thickTop="1" x14ac:dyDescent="0.25">
      <c r="A27" s="100"/>
      <c r="B27" s="101"/>
      <c r="C27" s="101"/>
      <c r="D27" s="101"/>
      <c r="E27" s="102"/>
      <c r="F27" s="102"/>
      <c r="G27" s="102"/>
      <c r="H27" s="102"/>
      <c r="I27" s="102"/>
      <c r="J27" s="101"/>
      <c r="K27" s="103"/>
      <c r="L27" s="103"/>
      <c r="M27" s="103"/>
      <c r="N27" s="103"/>
      <c r="O27" s="104" t="s">
        <v>23</v>
      </c>
      <c r="P27" s="83"/>
    </row>
    <row r="28" spans="1:16" ht="15.75" x14ac:dyDescent="0.25">
      <c r="A28" s="105" t="s">
        <v>24</v>
      </c>
      <c r="B28" s="84" t="s">
        <v>13</v>
      </c>
      <c r="C28" s="84" t="s">
        <v>15</v>
      </c>
      <c r="D28" s="84" t="s">
        <v>62</v>
      </c>
      <c r="E28" s="275" t="s">
        <v>55</v>
      </c>
      <c r="F28" s="84" t="s">
        <v>60</v>
      </c>
      <c r="G28" s="84" t="s">
        <v>63</v>
      </c>
      <c r="H28" s="84" t="s">
        <v>68</v>
      </c>
      <c r="I28" s="84" t="s">
        <v>70</v>
      </c>
      <c r="J28" s="84" t="s">
        <v>25</v>
      </c>
      <c r="K28" s="106" t="s">
        <v>52</v>
      </c>
      <c r="L28" s="106" t="s">
        <v>50</v>
      </c>
      <c r="M28" s="106" t="s">
        <v>17</v>
      </c>
      <c r="N28" s="106" t="s">
        <v>51</v>
      </c>
      <c r="O28" s="106" t="s">
        <v>26</v>
      </c>
      <c r="P28" s="83"/>
    </row>
    <row r="29" spans="1:16" ht="16.5" thickBot="1" x14ac:dyDescent="0.3">
      <c r="A29" s="107"/>
      <c r="B29" s="108"/>
      <c r="C29" s="108"/>
      <c r="D29" s="108"/>
      <c r="E29" s="276"/>
      <c r="F29" s="84"/>
      <c r="G29" s="84"/>
      <c r="H29" s="84"/>
      <c r="I29" s="84"/>
      <c r="J29" s="108"/>
      <c r="K29" s="109"/>
      <c r="L29" s="109"/>
      <c r="M29" s="109"/>
      <c r="N29" s="109"/>
      <c r="O29" s="109"/>
      <c r="P29" s="83"/>
    </row>
    <row r="30" spans="1:16" ht="15.75" thickTop="1" x14ac:dyDescent="0.2">
      <c r="A30" s="110"/>
      <c r="B30" s="111"/>
      <c r="C30" s="111"/>
      <c r="D30" s="111"/>
      <c r="E30" s="112"/>
      <c r="F30" s="112"/>
      <c r="G30" s="112"/>
      <c r="H30" s="112"/>
      <c r="I30" s="112"/>
      <c r="J30" s="111"/>
      <c r="K30" s="113"/>
      <c r="L30" s="113"/>
      <c r="M30" s="113"/>
      <c r="N30" s="113"/>
      <c r="O30" s="113"/>
      <c r="P30" s="83"/>
    </row>
    <row r="31" spans="1:16" ht="15.75" x14ac:dyDescent="0.25">
      <c r="A31" s="88">
        <f>DATE(2022,7,1)</f>
        <v>44743</v>
      </c>
      <c r="B31" s="89">
        <f>'MONTHLY STATS'!$K$9*0.21</f>
        <v>3359049.8339999998</v>
      </c>
      <c r="C31" s="89">
        <f>'MONTHLY STATS'!$K$22*0.21</f>
        <v>1763108.3841000001</v>
      </c>
      <c r="D31" s="89">
        <f>'MONTHLY STATS'!$K$35*0.21</f>
        <v>795167.66700000002</v>
      </c>
      <c r="E31" s="89">
        <f>'MONTHLY STATS'!$K$48*0.21</f>
        <v>4494852.2303999998</v>
      </c>
      <c r="F31" s="89">
        <f>'MONTHLY STATS'!$K$61*0.21</f>
        <v>3165394.9026000001</v>
      </c>
      <c r="G31" s="89">
        <f>'MONTHLY STATS'!$K$74*0.21</f>
        <v>1314631.5209999999</v>
      </c>
      <c r="H31" s="89">
        <f>'MONTHLY STATS'!$K$87*0.21</f>
        <v>2227424.3922000001</v>
      </c>
      <c r="I31" s="89">
        <f>'MONTHLY STATS'!$K$100*0.21</f>
        <v>2765364.9953999999</v>
      </c>
      <c r="J31" s="89">
        <f>'MONTHLY STATS'!$K$113*0.21</f>
        <v>3822849.2357999999</v>
      </c>
      <c r="K31" s="89">
        <f>'MONTHLY STATS'!$K$126*0.21</f>
        <v>4703370.6278999997</v>
      </c>
      <c r="L31" s="89">
        <f>'MONTHLY STATS'!$K$139*0.21</f>
        <v>683300.66280000005</v>
      </c>
      <c r="M31" s="89">
        <f>'MONTHLY STATS'!$K$152*0.21</f>
        <v>5606846.4542999994</v>
      </c>
      <c r="N31" s="89">
        <f>'MONTHLY STATS'!$K$165*0.21</f>
        <v>868965.65700000001</v>
      </c>
      <c r="O31" s="90">
        <f t="shared" ref="O31:O36" si="2">SUM(B31:N31)</f>
        <v>35570326.564499997</v>
      </c>
      <c r="P31" s="83"/>
    </row>
    <row r="32" spans="1:16" ht="15.75" x14ac:dyDescent="0.25">
      <c r="A32" s="88">
        <f>DATE(2022,8,1)</f>
        <v>44774</v>
      </c>
      <c r="B32" s="89">
        <f>'MONTHLY STATS'!$K$10*0.21</f>
        <v>3188690.0198999997</v>
      </c>
      <c r="C32" s="89">
        <f>'MONTHLY STATS'!$K$23*0.21</f>
        <v>1588851.9213</v>
      </c>
      <c r="D32" s="89">
        <f>'MONTHLY STATS'!$K$36*0.21</f>
        <v>734372.83709999989</v>
      </c>
      <c r="E32" s="89">
        <f>'MONTHLY STATS'!$K$49*0.21</f>
        <v>4061676.9521999997</v>
      </c>
      <c r="F32" s="89">
        <f>'MONTHLY STATS'!$K$62*0.21</f>
        <v>3214879.5693000001</v>
      </c>
      <c r="G32" s="89">
        <f>'MONTHLY STATS'!$K$75*0.21</f>
        <v>1147680.3639</v>
      </c>
      <c r="H32" s="89">
        <f>'MONTHLY STATS'!$K$88*0.21</f>
        <v>2163098.6937000002</v>
      </c>
      <c r="I32" s="89">
        <f>'MONTHLY STATS'!$K$101*0.21</f>
        <v>2924821.5044999998</v>
      </c>
      <c r="J32" s="89">
        <f>'MONTHLY STATS'!$K$114*0.21</f>
        <v>3452400.8777999999</v>
      </c>
      <c r="K32" s="89">
        <f>'MONTHLY STATS'!$K$127*0.21</f>
        <v>4351146.3975</v>
      </c>
      <c r="L32" s="89">
        <f>'MONTHLY STATS'!$K$140*0.21</f>
        <v>620327.83259999997</v>
      </c>
      <c r="M32" s="89">
        <f>'MONTHLY STATS'!$K$153*0.21</f>
        <v>5590252.4075999996</v>
      </c>
      <c r="N32" s="89">
        <f>'MONTHLY STATS'!$K$166*0.21</f>
        <v>768521.87789999996</v>
      </c>
      <c r="O32" s="90">
        <f t="shared" si="2"/>
        <v>33806721.2553</v>
      </c>
      <c r="P32" s="83"/>
    </row>
    <row r="33" spans="1:16" ht="15.75" x14ac:dyDescent="0.25">
      <c r="A33" s="88">
        <f>DATE(2022,9,1)</f>
        <v>44805</v>
      </c>
      <c r="B33" s="89">
        <f>'MONTHLY STATS'!$K$11*0.21</f>
        <v>2913784.8914999999</v>
      </c>
      <c r="C33" s="89">
        <f>'MONTHLY STATS'!$K$24*0.21</f>
        <v>1636722.8933999999</v>
      </c>
      <c r="D33" s="89">
        <f>'MONTHLY STATS'!$K$37*0.21</f>
        <v>755328.89249999996</v>
      </c>
      <c r="E33" s="89">
        <f>'MONTHLY STATS'!$K$50*0.21</f>
        <v>4442412.3932999996</v>
      </c>
      <c r="F33" s="89">
        <f>'MONTHLY STATS'!$K$63*0.21</f>
        <v>2907957.2151000001</v>
      </c>
      <c r="G33" s="89">
        <f>'MONTHLY STATS'!$K$76*0.21</f>
        <v>1129976.358</v>
      </c>
      <c r="H33" s="89">
        <f>'MONTHLY STATS'!$K$89*0.21</f>
        <v>2064167.763</v>
      </c>
      <c r="I33" s="89">
        <f>'MONTHLY STATS'!$K$102*0.21</f>
        <v>2839609.1870999997</v>
      </c>
      <c r="J33" s="89">
        <f>'MONTHLY STATS'!$K$115*0.21</f>
        <v>3561956.9558999995</v>
      </c>
      <c r="K33" s="89">
        <f>'MONTHLY STATS'!$K$128*0.21</f>
        <v>4266202.1240999997</v>
      </c>
      <c r="L33" s="89">
        <f>'MONTHLY STATS'!$K$141*0.21</f>
        <v>651220.46849999996</v>
      </c>
      <c r="M33" s="89">
        <f>'MONTHLY STATS'!$K$154*0.21</f>
        <v>5140952.1911999993</v>
      </c>
      <c r="N33" s="89">
        <f>'MONTHLY STATS'!$K$167*0.21</f>
        <v>831738.72809999995</v>
      </c>
      <c r="O33" s="90">
        <f t="shared" si="2"/>
        <v>33142030.061700001</v>
      </c>
      <c r="P33" s="83"/>
    </row>
    <row r="34" spans="1:16" ht="15.75" x14ac:dyDescent="0.25">
      <c r="A34" s="88">
        <f>DATE(2022,10,1)</f>
        <v>44835</v>
      </c>
      <c r="B34" s="89">
        <f>'MONTHLY STATS'!$K$12*0.21</f>
        <v>3075624.7241999996</v>
      </c>
      <c r="C34" s="89">
        <f>'MONTHLY STATS'!$K$25*0.21</f>
        <v>1608939.4313999999</v>
      </c>
      <c r="D34" s="89">
        <f>'MONTHLY STATS'!$K$38*0.21</f>
        <v>705512.90040000004</v>
      </c>
      <c r="E34" s="89">
        <f>'MONTHLY STATS'!$K$51*0.21</f>
        <v>4043854.5</v>
      </c>
      <c r="F34" s="89">
        <f>'MONTHLY STATS'!$K$64*0.21</f>
        <v>2505260.2259999998</v>
      </c>
      <c r="G34" s="89">
        <f>'MONTHLY STATS'!$K$77*0.21</f>
        <v>1158875.3861999998</v>
      </c>
      <c r="H34" s="89">
        <f>'MONTHLY STATS'!$K$90*0.21</f>
        <v>2187891.8501999998</v>
      </c>
      <c r="I34" s="89">
        <f>'MONTHLY STATS'!$K$103*0.21</f>
        <v>2719674.5499</v>
      </c>
      <c r="J34" s="89">
        <f>'MONTHLY STATS'!$K$116*0.21</f>
        <v>3417495.6816000002</v>
      </c>
      <c r="K34" s="89">
        <f>'MONTHLY STATS'!$K$129*0.21</f>
        <v>4410867.6758999992</v>
      </c>
      <c r="L34" s="89">
        <f>'MONTHLY STATS'!$K$142*0.21</f>
        <v>640540.41870000004</v>
      </c>
      <c r="M34" s="89">
        <f>'MONTHLY STATS'!$K$155*0.21</f>
        <v>5138674.4492999995</v>
      </c>
      <c r="N34" s="89">
        <f>'MONTHLY STATS'!$K$168*0.21</f>
        <v>806512.32270000002</v>
      </c>
      <c r="O34" s="90">
        <f t="shared" si="2"/>
        <v>32419724.116499994</v>
      </c>
      <c r="P34" s="83"/>
    </row>
    <row r="35" spans="1:16" ht="15.75" x14ac:dyDescent="0.25">
      <c r="A35" s="88">
        <f>DATE(2022,11,1)</f>
        <v>44866</v>
      </c>
      <c r="B35" s="89">
        <f>'MONTHLY STATS'!$K$13*0.21</f>
        <v>2845026.8469000002</v>
      </c>
      <c r="C35" s="89">
        <f>'MONTHLY STATS'!$K$26*0.21</f>
        <v>1476735.9725999997</v>
      </c>
      <c r="D35" s="89">
        <f>'MONTHLY STATS'!$K$39*0.21</f>
        <v>650621.45189999999</v>
      </c>
      <c r="E35" s="89">
        <f>'MONTHLY STATS'!$K$52*0.21</f>
        <v>3763966.5441000001</v>
      </c>
      <c r="F35" s="89">
        <f>'MONTHLY STATS'!$K$65*0.21</f>
        <v>2960831.6051999996</v>
      </c>
      <c r="G35" s="89">
        <f>'MONTHLY STATS'!$K$78*0.21</f>
        <v>1067059.5663000001</v>
      </c>
      <c r="H35" s="89">
        <f>'MONTHLY STATS'!$K$91*0.21</f>
        <v>2212111.8284999998</v>
      </c>
      <c r="I35" s="89">
        <f>'MONTHLY STATS'!$K$104*0.21</f>
        <v>2492792.2173000001</v>
      </c>
      <c r="J35" s="89">
        <f>'MONTHLY STATS'!$K$117*0.21</f>
        <v>3191663.4750000001</v>
      </c>
      <c r="K35" s="89">
        <f>'MONTHLY STATS'!$K$130*0.21</f>
        <v>4385820.3207</v>
      </c>
      <c r="L35" s="89">
        <f>'MONTHLY STATS'!$K$143*0.21</f>
        <v>587792.96100000001</v>
      </c>
      <c r="M35" s="89">
        <f>'MONTHLY STATS'!$K$156*0.21</f>
        <v>5073865.8936000001</v>
      </c>
      <c r="N35" s="89">
        <f>'MONTHLY STATS'!$K$169*0.21</f>
        <v>750429.42239999992</v>
      </c>
      <c r="O35" s="90">
        <f t="shared" si="2"/>
        <v>31458718.105500001</v>
      </c>
      <c r="P35" s="83"/>
    </row>
    <row r="36" spans="1:16" ht="15.75" x14ac:dyDescent="0.25">
      <c r="A36" s="88">
        <f>DATE(2022,12,1)</f>
        <v>44896</v>
      </c>
      <c r="B36" s="89">
        <f>'MONTHLY STATS'!$K$14*0.21</f>
        <v>2776013.2511999998</v>
      </c>
      <c r="C36" s="89">
        <f>'MONTHLY STATS'!$K$27*0.21</f>
        <v>1553783.3891999999</v>
      </c>
      <c r="D36" s="89">
        <f>'MONTHLY STATS'!$K$40*0.21</f>
        <v>659461.64339999994</v>
      </c>
      <c r="E36" s="89">
        <f>'MONTHLY STATS'!$K$53*0.21</f>
        <v>4246896.2613000004</v>
      </c>
      <c r="F36" s="89">
        <f>'MONTHLY STATS'!$K$66*0.21</f>
        <v>3099068.8049999997</v>
      </c>
      <c r="G36" s="89">
        <f>'MONTHLY STATS'!$K$79*0.21</f>
        <v>1155106.7450999999</v>
      </c>
      <c r="H36" s="89">
        <f>'MONTHLY STATS'!$K$92*0.21</f>
        <v>2239133.7002999997</v>
      </c>
      <c r="I36" s="89">
        <f>'MONTHLY STATS'!$K$105*0.21</f>
        <v>2741731.9691999997</v>
      </c>
      <c r="J36" s="89">
        <f>'MONTHLY STATS'!$K$118*0.21</f>
        <v>3487138.3112999997</v>
      </c>
      <c r="K36" s="89">
        <f>'MONTHLY STATS'!$K$131*0.21</f>
        <v>4371125.0373</v>
      </c>
      <c r="L36" s="89">
        <f>'MONTHLY STATS'!$K$144*0.21</f>
        <v>650540.88120000006</v>
      </c>
      <c r="M36" s="89">
        <f>'MONTHLY STATS'!$K$157*0.21</f>
        <v>5307678.2891999995</v>
      </c>
      <c r="N36" s="89">
        <f>'MONTHLY STATS'!$K$170*0.21</f>
        <v>826249.8909</v>
      </c>
      <c r="O36" s="90">
        <f t="shared" si="2"/>
        <v>33113928.174599998</v>
      </c>
      <c r="P36" s="83"/>
    </row>
    <row r="37" spans="1:16" ht="15.75" x14ac:dyDescent="0.25">
      <c r="A37" s="88">
        <f>DATE(2023,1,1)</f>
        <v>44927</v>
      </c>
      <c r="B37" s="89">
        <f>'MONTHLY STATS'!$K$15*0.21</f>
        <v>3041863.9313999997</v>
      </c>
      <c r="C37" s="89">
        <f>'MONTHLY STATS'!$K$28*0.21</f>
        <v>1512599.7641999999</v>
      </c>
      <c r="D37" s="89">
        <f>'MONTHLY STATS'!$K$41*0.21</f>
        <v>762701.03700000001</v>
      </c>
      <c r="E37" s="89">
        <f>'MONTHLY STATS'!$K$54*0.21</f>
        <v>3971446.9913999997</v>
      </c>
      <c r="F37" s="89">
        <f>'MONTHLY STATS'!$K$67*0.21</f>
        <v>2964857.2905000001</v>
      </c>
      <c r="G37" s="89">
        <f>'MONTHLY STATS'!$K$80*0.21</f>
        <v>1112091.2040000001</v>
      </c>
      <c r="H37" s="89">
        <f>'MONTHLY STATS'!$K$93*0.21</f>
        <v>2286726.7394999997</v>
      </c>
      <c r="I37" s="89">
        <f>'MONTHLY STATS'!$K$106*0.21</f>
        <v>2509557.7773000002</v>
      </c>
      <c r="J37" s="89">
        <f>'MONTHLY STATS'!$K$119*0.21</f>
        <v>3286258.9662000001</v>
      </c>
      <c r="K37" s="89">
        <f>'MONTHLY STATS'!$K$132*0.21</f>
        <v>4340668.3319999995</v>
      </c>
      <c r="L37" s="89">
        <f>'MONTHLY STATS'!$K$145*0.21</f>
        <v>606532.10309999995</v>
      </c>
      <c r="M37" s="89">
        <f>'MONTHLY STATS'!$K$158*0.21</f>
        <v>5117319.4044000003</v>
      </c>
      <c r="N37" s="89">
        <f>'MONTHLY STATS'!$K$171*0.21</f>
        <v>766575.97169999999</v>
      </c>
      <c r="O37" s="90">
        <f>SUM(B37:N37)</f>
        <v>32279199.512699995</v>
      </c>
      <c r="P37" s="83"/>
    </row>
    <row r="38" spans="1:16" ht="15.75" x14ac:dyDescent="0.25">
      <c r="A38" s="88">
        <f>DATE(2023,2,1)</f>
        <v>44958</v>
      </c>
      <c r="B38" s="89">
        <f>'MONTHLY STATS'!$K$16*0.21</f>
        <v>2930388.8711999999</v>
      </c>
      <c r="C38" s="89">
        <f>'MONTHLY STATS'!$K$29*0.21</f>
        <v>1606612.3017</v>
      </c>
      <c r="D38" s="89">
        <f>'MONTHLY STATS'!$K$42*0.21</f>
        <v>820235.0037</v>
      </c>
      <c r="E38" s="89">
        <f>'MONTHLY STATS'!$K$55*0.21</f>
        <v>4062328.1264999993</v>
      </c>
      <c r="F38" s="89">
        <f>'MONTHLY STATS'!$K$68*0.21</f>
        <v>2875199.0651999996</v>
      </c>
      <c r="G38" s="89">
        <f>'MONTHLY STATS'!$K$81*0.21</f>
        <v>1275150.1056000001</v>
      </c>
      <c r="H38" s="89">
        <f>'MONTHLY STATS'!$K$94*0.21</f>
        <v>2170910.4101999998</v>
      </c>
      <c r="I38" s="89">
        <f>'MONTHLY STATS'!$K$107*0.21</f>
        <v>2641852.6701000002</v>
      </c>
      <c r="J38" s="89">
        <f>'MONTHLY STATS'!$K$120*0.21</f>
        <v>3329521.1396999997</v>
      </c>
      <c r="K38" s="89">
        <f>'MONTHLY STATS'!$K$133*0.21</f>
        <v>4387939.9472999992</v>
      </c>
      <c r="L38" s="89">
        <f>'MONTHLY STATS'!$K$146*0.21</f>
        <v>653658.58319999999</v>
      </c>
      <c r="M38" s="89">
        <f>'MONTHLY STATS'!$K$159*0.21</f>
        <v>5336103.4314000001</v>
      </c>
      <c r="N38" s="89">
        <f>'MONTHLY STATS'!$K$172*0.21</f>
        <v>869331.81929999997</v>
      </c>
      <c r="O38" s="90">
        <f>SUM(B38:N38)</f>
        <v>32959231.475099996</v>
      </c>
      <c r="P38" s="83"/>
    </row>
    <row r="39" spans="1:16" ht="15.75" x14ac:dyDescent="0.25">
      <c r="A39" s="88">
        <f>DATE(2023,3,1)</f>
        <v>44986</v>
      </c>
      <c r="B39" s="89">
        <f>'MONTHLY STATS'!$K$17*0.21</f>
        <v>3293007.8012999999</v>
      </c>
      <c r="C39" s="89">
        <f>'MONTHLY STATS'!$K$30*0.21</f>
        <v>1802758.0556999999</v>
      </c>
      <c r="D39" s="89">
        <f>'MONTHLY STATS'!$K$43*0.21</f>
        <v>946662.8618999999</v>
      </c>
      <c r="E39" s="89">
        <f>'MONTHLY STATS'!$K$56*0.21</f>
        <v>4720487.9693999998</v>
      </c>
      <c r="F39" s="89">
        <f>'MONTHLY STATS'!$K$69*0.21</f>
        <v>3432363.6521999999</v>
      </c>
      <c r="G39" s="89">
        <f>'MONTHLY STATS'!$K$82*0.21</f>
        <v>1373022.9534</v>
      </c>
      <c r="H39" s="89">
        <f>'MONTHLY STATS'!$K$95*0.21</f>
        <v>2430387.3005999997</v>
      </c>
      <c r="I39" s="89">
        <f>'MONTHLY STATS'!$K$108*0.21</f>
        <v>3009138.3188999998</v>
      </c>
      <c r="J39" s="89">
        <f>'MONTHLY STATS'!$K$121*0.21</f>
        <v>3841012.2176999999</v>
      </c>
      <c r="K39" s="89">
        <f>'MONTHLY STATS'!$K$134*0.21</f>
        <v>4982038.3788000001</v>
      </c>
      <c r="L39" s="89">
        <f>'MONTHLY STATS'!$K$147*0.21</f>
        <v>704926.79459999991</v>
      </c>
      <c r="M39" s="89">
        <f>'MONTHLY STATS'!$K$160*0.21</f>
        <v>5633956.5135000004</v>
      </c>
      <c r="N39" s="89">
        <f>'MONTHLY STATS'!$K$173*0.21</f>
        <v>965107.37189999991</v>
      </c>
      <c r="O39" s="90">
        <f>SUM(B39:N39)</f>
        <v>37134870.189899996</v>
      </c>
      <c r="P39" s="83"/>
    </row>
    <row r="40" spans="1:16" ht="15.75" x14ac:dyDescent="0.25">
      <c r="A40" s="88">
        <f>DATE(2023,4,1)</f>
        <v>45017</v>
      </c>
      <c r="B40" s="89">
        <f>'MONTHLY STATS'!$K$18*0.21</f>
        <v>3112562.6426999997</v>
      </c>
      <c r="C40" s="89">
        <f>'MONTHLY STATS'!$K$31*0.21</f>
        <v>1711794.5481</v>
      </c>
      <c r="D40" s="89">
        <f>'MONTHLY STATS'!$K$44*0.21</f>
        <v>856189.15409999993</v>
      </c>
      <c r="E40" s="89">
        <f>'MONTHLY STATS'!$K$57*0.21</f>
        <v>4454067.2777999993</v>
      </c>
      <c r="F40" s="89">
        <f>'MONTHLY STATS'!$K$70*0.21</f>
        <v>2943852.6599999997</v>
      </c>
      <c r="G40" s="89">
        <f>'MONTHLY STATS'!$K$83*0.21</f>
        <v>1215538.3274999999</v>
      </c>
      <c r="H40" s="89">
        <f>'MONTHLY STATS'!$K$96*0.21</f>
        <v>2350463.4026999995</v>
      </c>
      <c r="I40" s="89">
        <f>'MONTHLY STATS'!$K$109*0.21</f>
        <v>2884073.7092999998</v>
      </c>
      <c r="J40" s="89">
        <f>'MONTHLY STATS'!$K$122*0.21</f>
        <v>3754504.4018999999</v>
      </c>
      <c r="K40" s="89">
        <f>'MONTHLY STATS'!$K$135*0.21</f>
        <v>4642936.3070999999</v>
      </c>
      <c r="L40" s="89">
        <f>'MONTHLY STATS'!$K$148*0.21</f>
        <v>666109.63439999998</v>
      </c>
      <c r="M40" s="89">
        <f>'MONTHLY STATS'!$K$161*0.21</f>
        <v>5593457.4905999992</v>
      </c>
      <c r="N40" s="89">
        <f>'MONTHLY STATS'!$K$174*0.21</f>
        <v>906914.31180000002</v>
      </c>
      <c r="O40" s="90">
        <f>SUM(B40:N40)</f>
        <v>35092463.868000001</v>
      </c>
      <c r="P40" s="83"/>
    </row>
    <row r="41" spans="1:16" ht="15.75" x14ac:dyDescent="0.25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90"/>
      <c r="P41" s="83"/>
    </row>
    <row r="42" spans="1:16" ht="15.75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90"/>
      <c r="P42" s="83"/>
    </row>
    <row r="43" spans="1:16" ht="15.75" x14ac:dyDescent="0.25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90"/>
      <c r="P43" s="83"/>
    </row>
    <row r="44" spans="1:16" ht="15.75" x14ac:dyDescent="0.25">
      <c r="A44" s="91" t="s">
        <v>27</v>
      </c>
      <c r="B44" s="90">
        <f t="shared" ref="B44:O44" si="3">SUM(B31:B42)</f>
        <v>30536012.814300001</v>
      </c>
      <c r="C44" s="90">
        <f t="shared" si="3"/>
        <v>16261906.661699999</v>
      </c>
      <c r="D44" s="90">
        <f t="shared" si="3"/>
        <v>7686253.449000001</v>
      </c>
      <c r="E44" s="90">
        <f t="shared" si="3"/>
        <v>42261989.246400006</v>
      </c>
      <c r="F44" s="90">
        <f t="shared" si="3"/>
        <v>30069664.991100002</v>
      </c>
      <c r="G44" s="90">
        <f t="shared" si="3"/>
        <v>11949132.530999999</v>
      </c>
      <c r="H44" s="90">
        <f t="shared" si="3"/>
        <v>22332316.080899999</v>
      </c>
      <c r="I44" s="90">
        <f>SUM(I31:I42)</f>
        <v>27528616.899</v>
      </c>
      <c r="J44" s="90">
        <f t="shared" si="3"/>
        <v>35144801.262900002</v>
      </c>
      <c r="K44" s="90">
        <f>SUM(K31:K42)</f>
        <v>44842115.14859999</v>
      </c>
      <c r="L44" s="90">
        <f t="shared" si="3"/>
        <v>6464950.3400999997</v>
      </c>
      <c r="M44" s="90">
        <f t="shared" si="3"/>
        <v>53539106.525099993</v>
      </c>
      <c r="N44" s="90">
        <f t="shared" si="3"/>
        <v>8360347.3736999994</v>
      </c>
      <c r="O44" s="90">
        <f t="shared" si="3"/>
        <v>336977213.32379997</v>
      </c>
      <c r="P44" s="83"/>
    </row>
    <row r="45" spans="1:16" ht="16.5" thickBot="1" x14ac:dyDescent="0.3">
      <c r="A45" s="92"/>
      <c r="B45" s="90"/>
      <c r="C45" s="90"/>
      <c r="D45" s="90"/>
      <c r="E45" s="89"/>
      <c r="F45" s="89"/>
      <c r="G45" s="89"/>
      <c r="H45" s="89"/>
      <c r="I45" s="89"/>
      <c r="J45" s="90"/>
      <c r="K45" s="90"/>
      <c r="L45" s="90"/>
      <c r="M45" s="90"/>
      <c r="N45" s="90"/>
      <c r="O45" s="90"/>
      <c r="P45" s="83"/>
    </row>
    <row r="46" spans="1:16" ht="15.75" thickTop="1" x14ac:dyDescent="0.2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6" x14ac:dyDescent="0.2">
      <c r="A47" s="288"/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</row>
    <row r="48" spans="1:16" ht="15.75" x14ac:dyDescent="0.25">
      <c r="A48" s="115" t="s">
        <v>29</v>
      </c>
      <c r="B48" s="98"/>
      <c r="C48" s="98"/>
      <c r="D48" s="98"/>
      <c r="E48" s="98"/>
      <c r="F48" s="98"/>
      <c r="G48" s="98"/>
      <c r="H48" s="98"/>
      <c r="I48" s="98"/>
    </row>
    <row r="49" spans="1:9" ht="15.75" x14ac:dyDescent="0.25">
      <c r="A49" s="115"/>
      <c r="B49" s="98"/>
      <c r="C49" s="98"/>
      <c r="D49" s="98"/>
      <c r="E49" s="98"/>
      <c r="F49" s="98"/>
      <c r="G49" s="98"/>
      <c r="H49" s="98"/>
      <c r="I49" s="98"/>
    </row>
    <row r="50" spans="1:9" ht="15.75" x14ac:dyDescent="0.25">
      <c r="A50" s="72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83"/>
  <sheetViews>
    <sheetView showOutlineSymbols="0" zoomScaleNormal="100" workbookViewId="0">
      <selection activeCell="A5" sqref="A5"/>
    </sheetView>
  </sheetViews>
  <sheetFormatPr defaultColWidth="9.6640625" defaultRowHeight="15" x14ac:dyDescent="0.2"/>
  <cols>
    <col min="1" max="1" width="27.6640625" style="118" customWidth="1"/>
    <col min="2" max="2" width="9.6640625" style="118" customWidth="1"/>
    <col min="3" max="3" width="16.6640625" style="209" customWidth="1"/>
    <col min="4" max="5" width="15.6640625" style="209" customWidth="1"/>
    <col min="6" max="6" width="9.6640625" style="118" customWidth="1"/>
    <col min="7" max="7" width="10.5546875" style="221" customWidth="1"/>
    <col min="8" max="16384" width="9.6640625" style="118"/>
  </cols>
  <sheetData>
    <row r="1" spans="1:8" ht="18" x14ac:dyDescent="0.25">
      <c r="A1" s="116" t="s">
        <v>0</v>
      </c>
      <c r="B1" s="117"/>
      <c r="C1" s="200"/>
      <c r="D1" s="200"/>
      <c r="E1" s="200"/>
      <c r="F1" s="117"/>
      <c r="G1" s="210"/>
    </row>
    <row r="2" spans="1:8" ht="18" customHeight="1" x14ac:dyDescent="0.3">
      <c r="A2" s="119" t="s">
        <v>30</v>
      </c>
      <c r="B2" s="117"/>
      <c r="C2" s="200"/>
      <c r="D2" s="200"/>
      <c r="E2" s="200"/>
      <c r="F2" s="117"/>
      <c r="G2" s="210"/>
    </row>
    <row r="3" spans="1:8" ht="18" customHeight="1" x14ac:dyDescent="0.25">
      <c r="A3" s="283" t="s">
        <v>75</v>
      </c>
      <c r="B3" s="117"/>
      <c r="C3" s="200"/>
      <c r="D3" s="200"/>
      <c r="E3" s="200"/>
      <c r="F3" s="117"/>
      <c r="G3" s="210"/>
    </row>
    <row r="4" spans="1:8" x14ac:dyDescent="0.2">
      <c r="A4" s="284" t="s">
        <v>76</v>
      </c>
      <c r="B4" s="117"/>
      <c r="C4" s="200"/>
      <c r="D4" s="200"/>
      <c r="E4" s="200"/>
      <c r="F4" s="117"/>
      <c r="G4" s="210"/>
    </row>
    <row r="5" spans="1:8" ht="15.75" x14ac:dyDescent="0.25">
      <c r="A5" s="117"/>
      <c r="B5" s="117"/>
      <c r="C5" s="200"/>
      <c r="D5" s="200"/>
      <c r="E5" s="200"/>
      <c r="F5" s="117"/>
      <c r="G5" s="211" t="s">
        <v>1</v>
      </c>
    </row>
    <row r="6" spans="1:8" ht="16.5" thickTop="1" x14ac:dyDescent="0.25">
      <c r="A6" s="120"/>
      <c r="B6" s="121" t="s">
        <v>2</v>
      </c>
      <c r="C6" s="201" t="s">
        <v>31</v>
      </c>
      <c r="D6" s="201" t="s">
        <v>31</v>
      </c>
      <c r="E6" s="201" t="s">
        <v>3</v>
      </c>
      <c r="F6" s="122"/>
      <c r="G6" s="212" t="s">
        <v>32</v>
      </c>
      <c r="H6" s="123"/>
    </row>
    <row r="7" spans="1:8" ht="16.5" thickBot="1" x14ac:dyDescent="0.3">
      <c r="A7" s="124" t="s">
        <v>5</v>
      </c>
      <c r="B7" s="125" t="s">
        <v>6</v>
      </c>
      <c r="C7" s="262" t="s">
        <v>33</v>
      </c>
      <c r="D7" s="202" t="s">
        <v>34</v>
      </c>
      <c r="E7" s="202" t="s">
        <v>34</v>
      </c>
      <c r="F7" s="126" t="s">
        <v>8</v>
      </c>
      <c r="G7" s="213" t="s">
        <v>35</v>
      </c>
      <c r="H7" s="123"/>
    </row>
    <row r="8" spans="1:8" ht="15.75" customHeight="1" thickTop="1" x14ac:dyDescent="0.25">
      <c r="A8" s="127"/>
      <c r="B8" s="128"/>
      <c r="C8" s="203"/>
      <c r="D8" s="203"/>
      <c r="E8" s="203"/>
      <c r="F8" s="129"/>
      <c r="G8" s="214"/>
      <c r="H8" s="123"/>
    </row>
    <row r="9" spans="1:8" ht="15.75" x14ac:dyDescent="0.25">
      <c r="A9" s="130" t="s">
        <v>36</v>
      </c>
      <c r="B9" s="131">
        <f>DATE(2022,7,1)</f>
        <v>44743</v>
      </c>
      <c r="C9" s="204">
        <v>15602600</v>
      </c>
      <c r="D9" s="204">
        <v>3018310</v>
      </c>
      <c r="E9" s="204">
        <v>2401856.06</v>
      </c>
      <c r="F9" s="132">
        <f t="shared" ref="F9:F18" si="0">(+D9-E9)/E9</f>
        <v>0.25665732025590238</v>
      </c>
      <c r="G9" s="215">
        <f t="shared" ref="G9:G18" si="1">D9/C9</f>
        <v>0.19344916872828888</v>
      </c>
      <c r="H9" s="123"/>
    </row>
    <row r="10" spans="1:8" ht="15.75" x14ac:dyDescent="0.25">
      <c r="A10" s="130"/>
      <c r="B10" s="131">
        <f>DATE(2022,8,1)</f>
        <v>44774</v>
      </c>
      <c r="C10" s="204">
        <v>15211017.25</v>
      </c>
      <c r="D10" s="204">
        <v>3237681.85</v>
      </c>
      <c r="E10" s="204">
        <v>2504601.5</v>
      </c>
      <c r="F10" s="132">
        <f t="shared" si="0"/>
        <v>0.29269340851229231</v>
      </c>
      <c r="G10" s="215">
        <f t="shared" si="1"/>
        <v>0.21285110632558121</v>
      </c>
      <c r="H10" s="123"/>
    </row>
    <row r="11" spans="1:8" ht="15.75" x14ac:dyDescent="0.25">
      <c r="A11" s="130"/>
      <c r="B11" s="131">
        <f>DATE(2022,9,1)</f>
        <v>44805</v>
      </c>
      <c r="C11" s="204">
        <v>13401211</v>
      </c>
      <c r="D11" s="204">
        <v>2018642</v>
      </c>
      <c r="E11" s="204">
        <v>1944156.5</v>
      </c>
      <c r="F11" s="132">
        <f t="shared" si="0"/>
        <v>3.8312502105668965E-2</v>
      </c>
      <c r="G11" s="215">
        <f t="shared" si="1"/>
        <v>0.15063131234930932</v>
      </c>
      <c r="H11" s="123"/>
    </row>
    <row r="12" spans="1:8" ht="15.75" x14ac:dyDescent="0.25">
      <c r="A12" s="130"/>
      <c r="B12" s="131">
        <f>DATE(2022,10,1)</f>
        <v>44835</v>
      </c>
      <c r="C12" s="204">
        <v>14506822</v>
      </c>
      <c r="D12" s="204">
        <v>2709321</v>
      </c>
      <c r="E12" s="204">
        <v>2656668</v>
      </c>
      <c r="F12" s="132">
        <f t="shared" si="0"/>
        <v>1.9819187041813281E-2</v>
      </c>
      <c r="G12" s="215">
        <f t="shared" si="1"/>
        <v>0.18676185590475985</v>
      </c>
      <c r="H12" s="123"/>
    </row>
    <row r="13" spans="1:8" ht="15.75" x14ac:dyDescent="0.25">
      <c r="A13" s="130"/>
      <c r="B13" s="131">
        <f>DATE(2022,11,1)</f>
        <v>44866</v>
      </c>
      <c r="C13" s="204">
        <v>14257204</v>
      </c>
      <c r="D13" s="204">
        <v>2936554</v>
      </c>
      <c r="E13" s="204">
        <v>2254397</v>
      </c>
      <c r="F13" s="132">
        <f t="shared" si="0"/>
        <v>0.30258956164331302</v>
      </c>
      <c r="G13" s="215">
        <f t="shared" si="1"/>
        <v>0.2059698381253435</v>
      </c>
      <c r="H13" s="123"/>
    </row>
    <row r="14" spans="1:8" ht="15.75" x14ac:dyDescent="0.25">
      <c r="A14" s="130"/>
      <c r="B14" s="131">
        <f>DATE(2022,12,1)</f>
        <v>44896</v>
      </c>
      <c r="C14" s="204">
        <v>14490087</v>
      </c>
      <c r="D14" s="204">
        <v>2019034</v>
      </c>
      <c r="E14" s="204">
        <v>2277304.5</v>
      </c>
      <c r="F14" s="132">
        <f t="shared" si="0"/>
        <v>-0.11341061329304009</v>
      </c>
      <c r="G14" s="215">
        <f t="shared" si="1"/>
        <v>0.13933898395503078</v>
      </c>
      <c r="H14" s="123"/>
    </row>
    <row r="15" spans="1:8" ht="15.75" x14ac:dyDescent="0.25">
      <c r="A15" s="130"/>
      <c r="B15" s="131">
        <f>DATE(2023,1,1)</f>
        <v>44927</v>
      </c>
      <c r="C15" s="204">
        <v>17039670</v>
      </c>
      <c r="D15" s="204">
        <v>3086761.5</v>
      </c>
      <c r="E15" s="204">
        <v>2164427.5</v>
      </c>
      <c r="F15" s="132">
        <f t="shared" si="0"/>
        <v>0.42613300745809229</v>
      </c>
      <c r="G15" s="215">
        <f t="shared" si="1"/>
        <v>0.18115148356746347</v>
      </c>
      <c r="H15" s="123"/>
    </row>
    <row r="16" spans="1:8" ht="15.75" x14ac:dyDescent="0.25">
      <c r="A16" s="130"/>
      <c r="B16" s="131">
        <f>DATE(2023,2,1)</f>
        <v>44958</v>
      </c>
      <c r="C16" s="204">
        <v>16336123</v>
      </c>
      <c r="D16" s="204">
        <v>2473094.5</v>
      </c>
      <c r="E16" s="204">
        <v>2316245</v>
      </c>
      <c r="F16" s="132">
        <f t="shared" si="0"/>
        <v>6.7717145638738568E-2</v>
      </c>
      <c r="G16" s="215">
        <f t="shared" si="1"/>
        <v>0.15138809251130148</v>
      </c>
      <c r="H16" s="123"/>
    </row>
    <row r="17" spans="1:8" ht="15.75" x14ac:dyDescent="0.25">
      <c r="A17" s="130"/>
      <c r="B17" s="131">
        <f>DATE(2023,3,1)</f>
        <v>44986</v>
      </c>
      <c r="C17" s="204">
        <v>17336379</v>
      </c>
      <c r="D17" s="204">
        <v>2339779</v>
      </c>
      <c r="E17" s="204">
        <v>2654540</v>
      </c>
      <c r="F17" s="132">
        <f t="shared" si="0"/>
        <v>-0.11857459296149239</v>
      </c>
      <c r="G17" s="215">
        <f t="shared" si="1"/>
        <v>0.13496353534956751</v>
      </c>
      <c r="H17" s="123"/>
    </row>
    <row r="18" spans="1:8" ht="15.75" x14ac:dyDescent="0.25">
      <c r="A18" s="130"/>
      <c r="B18" s="131">
        <f>DATE(2023,4,1)</f>
        <v>45017</v>
      </c>
      <c r="C18" s="204">
        <v>14865689</v>
      </c>
      <c r="D18" s="204">
        <v>2718840.5</v>
      </c>
      <c r="E18" s="204">
        <v>2452491.5</v>
      </c>
      <c r="F18" s="132">
        <f t="shared" si="0"/>
        <v>0.10860343450731634</v>
      </c>
      <c r="G18" s="215">
        <f t="shared" si="1"/>
        <v>0.18289367549664196</v>
      </c>
      <c r="H18" s="123"/>
    </row>
    <row r="19" spans="1:8" ht="15.75" thickBot="1" x14ac:dyDescent="0.25">
      <c r="A19" s="133"/>
      <c r="B19" s="134"/>
      <c r="C19" s="204"/>
      <c r="D19" s="204"/>
      <c r="E19" s="204"/>
      <c r="F19" s="132"/>
      <c r="G19" s="215"/>
      <c r="H19" s="123"/>
    </row>
    <row r="20" spans="1:8" ht="17.25" thickTop="1" thickBot="1" x14ac:dyDescent="0.3">
      <c r="A20" s="135" t="s">
        <v>14</v>
      </c>
      <c r="B20" s="136"/>
      <c r="C20" s="201">
        <f>SUM(C9:C19)</f>
        <v>153046802.25</v>
      </c>
      <c r="D20" s="201">
        <f>SUM(D9:D19)</f>
        <v>26558018.350000001</v>
      </c>
      <c r="E20" s="201">
        <f>SUM(E9:E19)</f>
        <v>23626687.560000002</v>
      </c>
      <c r="F20" s="137">
        <f>(+D20-E20)/E20</f>
        <v>0.12406863139641902</v>
      </c>
      <c r="G20" s="212">
        <f>D20/C20</f>
        <v>0.17352873735066884</v>
      </c>
      <c r="H20" s="123"/>
    </row>
    <row r="21" spans="1:8" ht="15.75" customHeight="1" thickTop="1" x14ac:dyDescent="0.25">
      <c r="A21" s="138"/>
      <c r="B21" s="139"/>
      <c r="C21" s="205"/>
      <c r="D21" s="205"/>
      <c r="E21" s="205"/>
      <c r="F21" s="140"/>
      <c r="G21" s="216"/>
      <c r="H21" s="123"/>
    </row>
    <row r="22" spans="1:8" ht="15.75" x14ac:dyDescent="0.25">
      <c r="A22" s="19" t="s">
        <v>15</v>
      </c>
      <c r="B22" s="131">
        <f>DATE(2022,7,1)</f>
        <v>44743</v>
      </c>
      <c r="C22" s="204">
        <v>2670326</v>
      </c>
      <c r="D22" s="204">
        <v>637839.5</v>
      </c>
      <c r="E22" s="204">
        <v>753311.5</v>
      </c>
      <c r="F22" s="132">
        <f t="shared" ref="F22:F31" si="2">(+D22-E22)/E22</f>
        <v>-0.15328585850607618</v>
      </c>
      <c r="G22" s="215">
        <f t="shared" ref="G22:G31" si="3">D22/C22</f>
        <v>0.23886203407374232</v>
      </c>
      <c r="H22" s="123"/>
    </row>
    <row r="23" spans="1:8" ht="15.75" x14ac:dyDescent="0.25">
      <c r="A23" s="19"/>
      <c r="B23" s="131">
        <f>DATE(2022,8,1)</f>
        <v>44774</v>
      </c>
      <c r="C23" s="204">
        <v>2364635</v>
      </c>
      <c r="D23" s="204">
        <v>695761.5</v>
      </c>
      <c r="E23" s="204">
        <v>615974.5</v>
      </c>
      <c r="F23" s="132">
        <f t="shared" si="2"/>
        <v>0.12952971267479416</v>
      </c>
      <c r="G23" s="215">
        <f t="shared" si="3"/>
        <v>0.2942363197702817</v>
      </c>
      <c r="H23" s="123"/>
    </row>
    <row r="24" spans="1:8" ht="15.75" x14ac:dyDescent="0.25">
      <c r="A24" s="19"/>
      <c r="B24" s="131">
        <f>DATE(2022,9,1)</f>
        <v>44805</v>
      </c>
      <c r="C24" s="204">
        <v>2764905</v>
      </c>
      <c r="D24" s="204">
        <v>780368</v>
      </c>
      <c r="E24" s="204">
        <v>858656</v>
      </c>
      <c r="F24" s="132">
        <f t="shared" si="2"/>
        <v>-9.1175045652741024E-2</v>
      </c>
      <c r="G24" s="215">
        <f t="shared" si="3"/>
        <v>0.28224043864074894</v>
      </c>
      <c r="H24" s="123"/>
    </row>
    <row r="25" spans="1:8" ht="15.75" x14ac:dyDescent="0.25">
      <c r="A25" s="19"/>
      <c r="B25" s="131">
        <f>DATE(2022,10,1)</f>
        <v>44835</v>
      </c>
      <c r="C25" s="204">
        <v>2297950</v>
      </c>
      <c r="D25" s="204">
        <v>868243</v>
      </c>
      <c r="E25" s="204">
        <v>649914</v>
      </c>
      <c r="F25" s="132">
        <f t="shared" si="2"/>
        <v>0.33593521604396892</v>
      </c>
      <c r="G25" s="215">
        <f t="shared" si="3"/>
        <v>0.37783372136034293</v>
      </c>
      <c r="H25" s="123"/>
    </row>
    <row r="26" spans="1:8" ht="15.75" x14ac:dyDescent="0.25">
      <c r="A26" s="19"/>
      <c r="B26" s="131">
        <f>DATE(2022,11,1)</f>
        <v>44866</v>
      </c>
      <c r="C26" s="204">
        <v>2194110</v>
      </c>
      <c r="D26" s="204">
        <v>714136.5</v>
      </c>
      <c r="E26" s="204">
        <v>707738</v>
      </c>
      <c r="F26" s="132">
        <f t="shared" si="2"/>
        <v>9.0407749760504589E-3</v>
      </c>
      <c r="G26" s="215">
        <f t="shared" si="3"/>
        <v>0.3254788957709504</v>
      </c>
      <c r="H26" s="123"/>
    </row>
    <row r="27" spans="1:8" ht="15.75" x14ac:dyDescent="0.25">
      <c r="A27" s="19"/>
      <c r="B27" s="131">
        <f>DATE(2022,12,1)</f>
        <v>44896</v>
      </c>
      <c r="C27" s="204">
        <v>2541586</v>
      </c>
      <c r="D27" s="204">
        <v>736054</v>
      </c>
      <c r="E27" s="204">
        <v>706014</v>
      </c>
      <c r="F27" s="132">
        <f t="shared" si="2"/>
        <v>4.2548731328273942E-2</v>
      </c>
      <c r="G27" s="215">
        <f t="shared" si="3"/>
        <v>0.28960420776633172</v>
      </c>
      <c r="H27" s="123"/>
    </row>
    <row r="28" spans="1:8" ht="15.75" x14ac:dyDescent="0.25">
      <c r="A28" s="19"/>
      <c r="B28" s="131">
        <f>DATE(2023,1,1)</f>
        <v>44927</v>
      </c>
      <c r="C28" s="204">
        <v>2252589</v>
      </c>
      <c r="D28" s="204">
        <v>620241</v>
      </c>
      <c r="E28" s="204">
        <v>684356</v>
      </c>
      <c r="F28" s="132">
        <f t="shared" si="2"/>
        <v>-9.3686619244954375E-2</v>
      </c>
      <c r="G28" s="215">
        <f t="shared" si="3"/>
        <v>0.27534583539207552</v>
      </c>
      <c r="H28" s="123"/>
    </row>
    <row r="29" spans="1:8" ht="15.75" x14ac:dyDescent="0.25">
      <c r="A29" s="19"/>
      <c r="B29" s="131">
        <f>DATE(2023,2,1)</f>
        <v>44958</v>
      </c>
      <c r="C29" s="204">
        <v>2210443</v>
      </c>
      <c r="D29" s="204">
        <v>564375.5</v>
      </c>
      <c r="E29" s="204">
        <v>495607</v>
      </c>
      <c r="F29" s="132">
        <f t="shared" si="2"/>
        <v>0.13875611119294118</v>
      </c>
      <c r="G29" s="215">
        <f t="shared" si="3"/>
        <v>0.25532234941140758</v>
      </c>
      <c r="H29" s="123"/>
    </row>
    <row r="30" spans="1:8" ht="15.75" x14ac:dyDescent="0.25">
      <c r="A30" s="19"/>
      <c r="B30" s="131">
        <f>DATE(2023,3,1)</f>
        <v>44986</v>
      </c>
      <c r="C30" s="204">
        <v>2724556</v>
      </c>
      <c r="D30" s="204">
        <v>903835</v>
      </c>
      <c r="E30" s="204">
        <v>769345</v>
      </c>
      <c r="F30" s="132">
        <f t="shared" si="2"/>
        <v>0.17481104056047678</v>
      </c>
      <c r="G30" s="215">
        <f t="shared" si="3"/>
        <v>0.33173662057230607</v>
      </c>
      <c r="H30" s="123"/>
    </row>
    <row r="31" spans="1:8" ht="15.75" x14ac:dyDescent="0.25">
      <c r="A31" s="19"/>
      <c r="B31" s="131">
        <f>DATE(2023,4,1)</f>
        <v>45017</v>
      </c>
      <c r="C31" s="204">
        <v>2653760</v>
      </c>
      <c r="D31" s="204">
        <v>724571</v>
      </c>
      <c r="E31" s="204">
        <v>768964.5</v>
      </c>
      <c r="F31" s="132">
        <f t="shared" si="2"/>
        <v>-5.7731533770414629E-2</v>
      </c>
      <c r="G31" s="215">
        <f t="shared" si="3"/>
        <v>0.27303561738815868</v>
      </c>
      <c r="H31" s="123"/>
    </row>
    <row r="32" spans="1:8" ht="15.75" thickBot="1" x14ac:dyDescent="0.25">
      <c r="A32" s="133"/>
      <c r="B32" s="131"/>
      <c r="C32" s="204"/>
      <c r="D32" s="204"/>
      <c r="E32" s="204"/>
      <c r="F32" s="132"/>
      <c r="G32" s="215"/>
      <c r="H32" s="123"/>
    </row>
    <row r="33" spans="1:8" ht="17.25" thickTop="1" thickBot="1" x14ac:dyDescent="0.3">
      <c r="A33" s="135" t="s">
        <v>14</v>
      </c>
      <c r="B33" s="136"/>
      <c r="C33" s="201">
        <f>SUM(C22:C32)</f>
        <v>24674860</v>
      </c>
      <c r="D33" s="201">
        <f>SUM(D22:D32)</f>
        <v>7245425</v>
      </c>
      <c r="E33" s="201">
        <f>SUM(E22:E32)</f>
        <v>7009880.5</v>
      </c>
      <c r="F33" s="137">
        <f>(+D33-E33)/E33</f>
        <v>3.3601785365670642E-2</v>
      </c>
      <c r="G33" s="212">
        <f>D33/C33</f>
        <v>0.29363591120679106</v>
      </c>
      <c r="H33" s="123"/>
    </row>
    <row r="34" spans="1:8" ht="15.75" customHeight="1" thickTop="1" x14ac:dyDescent="0.25">
      <c r="A34" s="255"/>
      <c r="B34" s="139"/>
      <c r="C34" s="205"/>
      <c r="D34" s="205"/>
      <c r="E34" s="205"/>
      <c r="F34" s="140"/>
      <c r="G34" s="219"/>
      <c r="H34" s="123"/>
    </row>
    <row r="35" spans="1:8" ht="15.75" x14ac:dyDescent="0.25">
      <c r="A35" s="19" t="s">
        <v>62</v>
      </c>
      <c r="B35" s="131">
        <f>DATE(2022,7,1)</f>
        <v>44743</v>
      </c>
      <c r="C35" s="204">
        <v>1113934</v>
      </c>
      <c r="D35" s="204">
        <v>249087.5</v>
      </c>
      <c r="E35" s="204">
        <v>419659</v>
      </c>
      <c r="F35" s="132">
        <f t="shared" ref="F35:F44" si="4">(+D35-E35)/E35</f>
        <v>-0.40645261986517622</v>
      </c>
      <c r="G35" s="215">
        <f t="shared" ref="G35:G44" si="5">D35/C35</f>
        <v>0.2236106447958317</v>
      </c>
      <c r="H35" s="123"/>
    </row>
    <row r="36" spans="1:8" ht="15.75" x14ac:dyDescent="0.25">
      <c r="A36" s="19"/>
      <c r="B36" s="131">
        <f>DATE(2022,8,1)</f>
        <v>44774</v>
      </c>
      <c r="C36" s="204">
        <v>982269</v>
      </c>
      <c r="D36" s="204">
        <v>272495.5</v>
      </c>
      <c r="E36" s="204">
        <v>283741.5</v>
      </c>
      <c r="F36" s="132">
        <f t="shared" si="4"/>
        <v>-3.963466747021497E-2</v>
      </c>
      <c r="G36" s="215">
        <f t="shared" si="5"/>
        <v>0.2774143335481421</v>
      </c>
      <c r="H36" s="123"/>
    </row>
    <row r="37" spans="1:8" ht="15.75" x14ac:dyDescent="0.25">
      <c r="A37" s="19"/>
      <c r="B37" s="131">
        <f>DATE(2022,9,1)</f>
        <v>44805</v>
      </c>
      <c r="C37" s="204">
        <v>1082836</v>
      </c>
      <c r="D37" s="204">
        <v>310850</v>
      </c>
      <c r="E37" s="204">
        <v>271461</v>
      </c>
      <c r="F37" s="132">
        <f t="shared" si="4"/>
        <v>0.14510003278555667</v>
      </c>
      <c r="G37" s="215">
        <f t="shared" si="5"/>
        <v>0.28707024886501742</v>
      </c>
      <c r="H37" s="123"/>
    </row>
    <row r="38" spans="1:8" ht="15.75" x14ac:dyDescent="0.25">
      <c r="A38" s="19"/>
      <c r="B38" s="131">
        <f>DATE(2022,10,1)</f>
        <v>44835</v>
      </c>
      <c r="C38" s="204">
        <v>954912</v>
      </c>
      <c r="D38" s="204">
        <v>204149.5</v>
      </c>
      <c r="E38" s="204">
        <v>344180</v>
      </c>
      <c r="F38" s="132">
        <f t="shared" si="4"/>
        <v>-0.40685251903073971</v>
      </c>
      <c r="G38" s="215">
        <f t="shared" si="5"/>
        <v>0.21378880985891893</v>
      </c>
      <c r="H38" s="123"/>
    </row>
    <row r="39" spans="1:8" ht="15.75" x14ac:dyDescent="0.25">
      <c r="A39" s="19"/>
      <c r="B39" s="131">
        <f>DATE(2022,11,1)</f>
        <v>44866</v>
      </c>
      <c r="C39" s="204">
        <v>1174084</v>
      </c>
      <c r="D39" s="204">
        <v>292609</v>
      </c>
      <c r="E39" s="204">
        <v>349298.5</v>
      </c>
      <c r="F39" s="132">
        <f t="shared" si="4"/>
        <v>-0.16229528612347319</v>
      </c>
      <c r="G39" s="215">
        <f t="shared" si="5"/>
        <v>0.24922322423267843</v>
      </c>
      <c r="H39" s="123"/>
    </row>
    <row r="40" spans="1:8" ht="15.75" x14ac:dyDescent="0.25">
      <c r="A40" s="19"/>
      <c r="B40" s="131">
        <f>DATE(2022,12,1)</f>
        <v>44896</v>
      </c>
      <c r="C40" s="204">
        <v>1076281</v>
      </c>
      <c r="D40" s="204">
        <v>300188</v>
      </c>
      <c r="E40" s="204">
        <v>335226</v>
      </c>
      <c r="F40" s="132">
        <f t="shared" si="4"/>
        <v>-0.10452053241693664</v>
      </c>
      <c r="G40" s="215">
        <f t="shared" si="5"/>
        <v>0.27891229149264923</v>
      </c>
      <c r="H40" s="123"/>
    </row>
    <row r="41" spans="1:8" ht="15.75" x14ac:dyDescent="0.25">
      <c r="A41" s="19"/>
      <c r="B41" s="131">
        <f>DATE(2023,1,1)</f>
        <v>44927</v>
      </c>
      <c r="C41" s="204">
        <v>1214793</v>
      </c>
      <c r="D41" s="204">
        <v>379305</v>
      </c>
      <c r="E41" s="204">
        <v>314386</v>
      </c>
      <c r="F41" s="132">
        <f t="shared" si="4"/>
        <v>0.20649456400730312</v>
      </c>
      <c r="G41" s="215">
        <f t="shared" si="5"/>
        <v>0.31223838135386028</v>
      </c>
      <c r="H41" s="123"/>
    </row>
    <row r="42" spans="1:8" ht="15.75" x14ac:dyDescent="0.25">
      <c r="A42" s="19"/>
      <c r="B42" s="131">
        <f>DATE(2023,2,1)</f>
        <v>44958</v>
      </c>
      <c r="C42" s="204">
        <v>1195972</v>
      </c>
      <c r="D42" s="204">
        <v>255416</v>
      </c>
      <c r="E42" s="204">
        <v>260435</v>
      </c>
      <c r="F42" s="132">
        <f t="shared" si="4"/>
        <v>-1.9271603279129149E-2</v>
      </c>
      <c r="G42" s="215">
        <f t="shared" si="5"/>
        <v>0.21356352824313612</v>
      </c>
      <c r="H42" s="123"/>
    </row>
    <row r="43" spans="1:8" ht="15.75" x14ac:dyDescent="0.25">
      <c r="A43" s="19"/>
      <c r="B43" s="131">
        <f>DATE(2023,3,1)</f>
        <v>44986</v>
      </c>
      <c r="C43" s="204">
        <v>1375574</v>
      </c>
      <c r="D43" s="204">
        <v>323646</v>
      </c>
      <c r="E43" s="204">
        <v>412336.5</v>
      </c>
      <c r="F43" s="132">
        <f t="shared" si="4"/>
        <v>-0.21509252758366043</v>
      </c>
      <c r="G43" s="215">
        <f t="shared" si="5"/>
        <v>0.23528069009737027</v>
      </c>
      <c r="H43" s="123"/>
    </row>
    <row r="44" spans="1:8" ht="15.75" x14ac:dyDescent="0.25">
      <c r="A44" s="19"/>
      <c r="B44" s="131">
        <f>DATE(2023,4,1)</f>
        <v>45017</v>
      </c>
      <c r="C44" s="204">
        <v>1298614</v>
      </c>
      <c r="D44" s="204">
        <v>368001.5</v>
      </c>
      <c r="E44" s="204">
        <v>414568.5</v>
      </c>
      <c r="F44" s="132">
        <f t="shared" si="4"/>
        <v>-0.11232643097582184</v>
      </c>
      <c r="G44" s="215">
        <f t="shared" si="5"/>
        <v>0.28338020381730061</v>
      </c>
      <c r="H44" s="123"/>
    </row>
    <row r="45" spans="1:8" ht="15.75" thickBot="1" x14ac:dyDescent="0.25">
      <c r="A45" s="133"/>
      <c r="B45" s="131"/>
      <c r="C45" s="204"/>
      <c r="D45" s="204"/>
      <c r="E45" s="204"/>
      <c r="F45" s="132"/>
      <c r="G45" s="215"/>
      <c r="H45" s="123"/>
    </row>
    <row r="46" spans="1:8" ht="17.25" thickTop="1" thickBot="1" x14ac:dyDescent="0.3">
      <c r="A46" s="141" t="s">
        <v>14</v>
      </c>
      <c r="B46" s="142"/>
      <c r="C46" s="206">
        <f>SUM(C35:C45)</f>
        <v>11469269</v>
      </c>
      <c r="D46" s="206">
        <f>SUM(D35:D45)</f>
        <v>2955748</v>
      </c>
      <c r="E46" s="206">
        <f>SUM(E35:E45)</f>
        <v>3405292</v>
      </c>
      <c r="F46" s="143">
        <f>(+D46-E46)/E46</f>
        <v>-0.13201334863500691</v>
      </c>
      <c r="G46" s="217">
        <f>D46/C46</f>
        <v>0.2577102341919088</v>
      </c>
      <c r="H46" s="123"/>
    </row>
    <row r="47" spans="1:8" ht="15.75" thickTop="1" x14ac:dyDescent="0.2">
      <c r="A47" s="133"/>
      <c r="B47" s="134"/>
      <c r="C47" s="204"/>
      <c r="D47" s="204"/>
      <c r="E47" s="204"/>
      <c r="F47" s="132"/>
      <c r="G47" s="218"/>
      <c r="H47" s="123"/>
    </row>
    <row r="48" spans="1:8" ht="15.75" x14ac:dyDescent="0.25">
      <c r="A48" s="177" t="s">
        <v>58</v>
      </c>
      <c r="B48" s="131">
        <f>DATE(2022,7,1)</f>
        <v>44743</v>
      </c>
      <c r="C48" s="204">
        <v>14706873</v>
      </c>
      <c r="D48" s="204">
        <v>3390213</v>
      </c>
      <c r="E48" s="204">
        <v>2503983</v>
      </c>
      <c r="F48" s="132">
        <f t="shared" ref="F48:F57" si="6">(+D48-E48)/E48</f>
        <v>0.3539281217164813</v>
      </c>
      <c r="G48" s="215">
        <f t="shared" ref="G48:G57" si="7">D48/C48</f>
        <v>0.23051895532109376</v>
      </c>
      <c r="H48" s="123"/>
    </row>
    <row r="49" spans="1:8" ht="15.75" x14ac:dyDescent="0.25">
      <c r="A49" s="177"/>
      <c r="B49" s="131">
        <f>DATE(2022,8,1)</f>
        <v>44774</v>
      </c>
      <c r="C49" s="204">
        <v>13496707</v>
      </c>
      <c r="D49" s="204">
        <v>2096973.67</v>
      </c>
      <c r="E49" s="204">
        <v>2387806</v>
      </c>
      <c r="F49" s="132">
        <f t="shared" si="6"/>
        <v>-0.12179897780640474</v>
      </c>
      <c r="G49" s="215">
        <f t="shared" si="7"/>
        <v>0.15536928155882765</v>
      </c>
      <c r="H49" s="123"/>
    </row>
    <row r="50" spans="1:8" ht="15.75" x14ac:dyDescent="0.25">
      <c r="A50" s="177"/>
      <c r="B50" s="131">
        <f>DATE(2022,9,1)</f>
        <v>44805</v>
      </c>
      <c r="C50" s="204">
        <v>14000972</v>
      </c>
      <c r="D50" s="204">
        <v>3937084.53</v>
      </c>
      <c r="E50" s="204">
        <v>2689723.5</v>
      </c>
      <c r="F50" s="132">
        <f t="shared" si="6"/>
        <v>0.463750653180522</v>
      </c>
      <c r="G50" s="215">
        <f t="shared" si="7"/>
        <v>0.281200800201586</v>
      </c>
      <c r="H50" s="123"/>
    </row>
    <row r="51" spans="1:8" ht="15.75" x14ac:dyDescent="0.25">
      <c r="A51" s="177"/>
      <c r="B51" s="131">
        <f>DATE(2022,10,1)</f>
        <v>44835</v>
      </c>
      <c r="C51" s="204">
        <v>12585717</v>
      </c>
      <c r="D51" s="204">
        <v>2819327.04</v>
      </c>
      <c r="E51" s="204">
        <v>2470116.0299999998</v>
      </c>
      <c r="F51" s="132">
        <f t="shared" si="6"/>
        <v>0.14137433454897269</v>
      </c>
      <c r="G51" s="215">
        <f t="shared" si="7"/>
        <v>0.2240100456732024</v>
      </c>
      <c r="H51" s="123"/>
    </row>
    <row r="52" spans="1:8" ht="15.75" x14ac:dyDescent="0.25">
      <c r="A52" s="177"/>
      <c r="B52" s="131">
        <f>DATE(2022,11,1)</f>
        <v>44866</v>
      </c>
      <c r="C52" s="204">
        <v>13050666</v>
      </c>
      <c r="D52" s="204">
        <v>2876740.26</v>
      </c>
      <c r="E52" s="204">
        <v>3414579.43</v>
      </c>
      <c r="F52" s="132">
        <f t="shared" si="6"/>
        <v>-0.15751256663547591</v>
      </c>
      <c r="G52" s="215">
        <f t="shared" si="7"/>
        <v>0.22042861720620233</v>
      </c>
      <c r="H52" s="123"/>
    </row>
    <row r="53" spans="1:8" ht="15.75" x14ac:dyDescent="0.25">
      <c r="A53" s="177"/>
      <c r="B53" s="131">
        <f>DATE(2022,12,1)</f>
        <v>44896</v>
      </c>
      <c r="C53" s="204">
        <v>13836635</v>
      </c>
      <c r="D53" s="204">
        <v>3108188.89</v>
      </c>
      <c r="E53" s="204">
        <v>3251944</v>
      </c>
      <c r="F53" s="132">
        <f t="shared" si="6"/>
        <v>-4.4205899609587332E-2</v>
      </c>
      <c r="G53" s="215">
        <f t="shared" si="7"/>
        <v>0.2246347388653383</v>
      </c>
      <c r="H53" s="123"/>
    </row>
    <row r="54" spans="1:8" ht="15.75" x14ac:dyDescent="0.25">
      <c r="A54" s="177"/>
      <c r="B54" s="131">
        <f>DATE(2023,1,1)</f>
        <v>44927</v>
      </c>
      <c r="C54" s="204">
        <v>13524974</v>
      </c>
      <c r="D54" s="204">
        <v>2951407.99</v>
      </c>
      <c r="E54" s="204">
        <v>3271232.5</v>
      </c>
      <c r="F54" s="132">
        <f t="shared" si="6"/>
        <v>-9.7768810379573995E-2</v>
      </c>
      <c r="G54" s="215">
        <f t="shared" si="7"/>
        <v>0.21821912485746739</v>
      </c>
      <c r="H54" s="123"/>
    </row>
    <row r="55" spans="1:8" ht="15.75" x14ac:dyDescent="0.25">
      <c r="A55" s="177"/>
      <c r="B55" s="131">
        <f>DATE(2023,2,1)</f>
        <v>44958</v>
      </c>
      <c r="C55" s="204">
        <v>14609035</v>
      </c>
      <c r="D55" s="204">
        <v>2375670.2999999998</v>
      </c>
      <c r="E55" s="204">
        <v>2578515.35</v>
      </c>
      <c r="F55" s="132">
        <f t="shared" si="6"/>
        <v>-7.8667381212215892E-2</v>
      </c>
      <c r="G55" s="215">
        <f t="shared" si="7"/>
        <v>0.16261651094682159</v>
      </c>
      <c r="H55" s="123"/>
    </row>
    <row r="56" spans="1:8" ht="15.75" x14ac:dyDescent="0.25">
      <c r="A56" s="177"/>
      <c r="B56" s="131">
        <f>DATE(2023,3,1)</f>
        <v>44986</v>
      </c>
      <c r="C56" s="204">
        <v>16407819</v>
      </c>
      <c r="D56" s="204">
        <v>3353751.65</v>
      </c>
      <c r="E56" s="204">
        <v>2838724.85</v>
      </c>
      <c r="F56" s="132">
        <f t="shared" si="6"/>
        <v>0.18142892573755423</v>
      </c>
      <c r="G56" s="215">
        <f t="shared" si="7"/>
        <v>0.20439960058067436</v>
      </c>
      <c r="H56" s="123"/>
    </row>
    <row r="57" spans="1:8" ht="15.75" x14ac:dyDescent="0.25">
      <c r="A57" s="177"/>
      <c r="B57" s="131">
        <f>DATE(2023,4,1)</f>
        <v>45017</v>
      </c>
      <c r="C57" s="204">
        <v>14985752</v>
      </c>
      <c r="D57" s="204">
        <v>3123735.42</v>
      </c>
      <c r="E57" s="204">
        <v>3049083.5</v>
      </c>
      <c r="F57" s="132">
        <f t="shared" si="6"/>
        <v>2.4483396404198155E-2</v>
      </c>
      <c r="G57" s="215">
        <f t="shared" si="7"/>
        <v>0.20844702488070002</v>
      </c>
      <c r="H57" s="123"/>
    </row>
    <row r="58" spans="1:8" ht="15.75" customHeight="1" thickBot="1" x14ac:dyDescent="0.25">
      <c r="A58" s="133"/>
      <c r="B58" s="134"/>
      <c r="C58" s="204"/>
      <c r="D58" s="204"/>
      <c r="E58" s="204"/>
      <c r="F58" s="132"/>
      <c r="G58" s="215"/>
      <c r="H58" s="123"/>
    </row>
    <row r="59" spans="1:8" ht="17.25" customHeight="1" thickTop="1" thickBot="1" x14ac:dyDescent="0.3">
      <c r="A59" s="141" t="s">
        <v>14</v>
      </c>
      <c r="B59" s="142"/>
      <c r="C59" s="206">
        <f>SUM(C48:C58)</f>
        <v>141205150</v>
      </c>
      <c r="D59" s="206">
        <f>SUM(D48:D58)</f>
        <v>30033092.749999993</v>
      </c>
      <c r="E59" s="206">
        <f>SUM(E48:E58)</f>
        <v>28455708.160000004</v>
      </c>
      <c r="F59" s="143">
        <f>(+D59-E59)/E59</f>
        <v>5.5432976087986016E-2</v>
      </c>
      <c r="G59" s="217">
        <f>D59/C59</f>
        <v>0.21269119964817143</v>
      </c>
      <c r="H59" s="123"/>
    </row>
    <row r="60" spans="1:8" ht="15.75" customHeight="1" thickTop="1" x14ac:dyDescent="0.2">
      <c r="A60" s="133"/>
      <c r="B60" s="134"/>
      <c r="C60" s="204"/>
      <c r="D60" s="204"/>
      <c r="E60" s="204"/>
      <c r="F60" s="132"/>
      <c r="G60" s="218"/>
      <c r="H60" s="123"/>
    </row>
    <row r="61" spans="1:8" ht="15" customHeight="1" x14ac:dyDescent="0.25">
      <c r="A61" s="130" t="s">
        <v>60</v>
      </c>
      <c r="B61" s="131">
        <f>DATE(2022,7,1)</f>
        <v>44743</v>
      </c>
      <c r="C61" s="204">
        <v>14151945</v>
      </c>
      <c r="D61" s="204">
        <v>3195567.5</v>
      </c>
      <c r="E61" s="204">
        <v>3475895.5</v>
      </c>
      <c r="F61" s="132">
        <f t="shared" ref="F61:F70" si="8">(+D61-E61)/E61</f>
        <v>-8.0649144946964027E-2</v>
      </c>
      <c r="G61" s="215">
        <f t="shared" ref="G61:G70" si="9">D61/C61</f>
        <v>0.22580412091765478</v>
      </c>
      <c r="H61" s="123"/>
    </row>
    <row r="62" spans="1:8" ht="15" customHeight="1" x14ac:dyDescent="0.25">
      <c r="A62" s="130"/>
      <c r="B62" s="131">
        <f>DATE(2022,8,1)</f>
        <v>44774</v>
      </c>
      <c r="C62" s="204">
        <v>12695452</v>
      </c>
      <c r="D62" s="204">
        <v>3909171</v>
      </c>
      <c r="E62" s="204">
        <v>1742952</v>
      </c>
      <c r="F62" s="132">
        <f t="shared" si="8"/>
        <v>1.2428448976219655</v>
      </c>
      <c r="G62" s="215">
        <f t="shared" si="9"/>
        <v>0.30791900910656822</v>
      </c>
      <c r="H62" s="123"/>
    </row>
    <row r="63" spans="1:8" ht="15" customHeight="1" x14ac:dyDescent="0.25">
      <c r="A63" s="130"/>
      <c r="B63" s="131">
        <f>DATE(2022,9,1)</f>
        <v>44805</v>
      </c>
      <c r="C63" s="204">
        <v>12298202</v>
      </c>
      <c r="D63" s="204">
        <v>3778062.5</v>
      </c>
      <c r="E63" s="204">
        <v>3305560.5</v>
      </c>
      <c r="F63" s="132">
        <f t="shared" si="8"/>
        <v>0.14294156770084832</v>
      </c>
      <c r="G63" s="215">
        <f t="shared" si="9"/>
        <v>0.30720445964377557</v>
      </c>
      <c r="H63" s="123"/>
    </row>
    <row r="64" spans="1:8" ht="15" customHeight="1" x14ac:dyDescent="0.25">
      <c r="A64" s="130"/>
      <c r="B64" s="131">
        <f>DATE(2022,10,1)</f>
        <v>44835</v>
      </c>
      <c r="C64" s="204">
        <v>12569173</v>
      </c>
      <c r="D64" s="204">
        <v>1234436</v>
      </c>
      <c r="E64" s="204">
        <v>3513957.5</v>
      </c>
      <c r="F64" s="132">
        <f t="shared" si="8"/>
        <v>-0.64870491461550117</v>
      </c>
      <c r="G64" s="215">
        <f t="shared" si="9"/>
        <v>9.8211393860200669E-2</v>
      </c>
      <c r="H64" s="123"/>
    </row>
    <row r="65" spans="1:8" ht="15" customHeight="1" x14ac:dyDescent="0.25">
      <c r="A65" s="130"/>
      <c r="B65" s="131">
        <f>DATE(2022,11,1)</f>
        <v>44866</v>
      </c>
      <c r="C65" s="204">
        <v>12421811</v>
      </c>
      <c r="D65" s="204">
        <v>3487549</v>
      </c>
      <c r="E65" s="204">
        <v>3943943</v>
      </c>
      <c r="F65" s="132">
        <f t="shared" si="8"/>
        <v>-0.11572023226502005</v>
      </c>
      <c r="G65" s="215">
        <f t="shared" si="9"/>
        <v>0.28076010816780256</v>
      </c>
      <c r="H65" s="123"/>
    </row>
    <row r="66" spans="1:8" ht="15" customHeight="1" x14ac:dyDescent="0.25">
      <c r="A66" s="130"/>
      <c r="B66" s="131">
        <f>DATE(2022,12,1)</f>
        <v>44896</v>
      </c>
      <c r="C66" s="204">
        <v>11896885</v>
      </c>
      <c r="D66" s="204">
        <v>3689598</v>
      </c>
      <c r="E66" s="204">
        <v>2827634.5</v>
      </c>
      <c r="F66" s="132">
        <f t="shared" si="8"/>
        <v>0.30483554363196519</v>
      </c>
      <c r="G66" s="215">
        <f t="shared" si="9"/>
        <v>0.31013143356433215</v>
      </c>
      <c r="H66" s="123"/>
    </row>
    <row r="67" spans="1:8" ht="15" customHeight="1" x14ac:dyDescent="0.25">
      <c r="A67" s="130"/>
      <c r="B67" s="131">
        <f>DATE(2023,1,1)</f>
        <v>44927</v>
      </c>
      <c r="C67" s="204">
        <v>12167419.75</v>
      </c>
      <c r="D67" s="204">
        <v>3432704.75</v>
      </c>
      <c r="E67" s="204">
        <v>3537082.5</v>
      </c>
      <c r="F67" s="132">
        <f t="shared" si="8"/>
        <v>-2.9509560492298383E-2</v>
      </c>
      <c r="G67" s="215">
        <f t="shared" si="9"/>
        <v>0.28212265381902352</v>
      </c>
      <c r="H67" s="123"/>
    </row>
    <row r="68" spans="1:8" ht="15" customHeight="1" x14ac:dyDescent="0.25">
      <c r="A68" s="130"/>
      <c r="B68" s="131">
        <f>DATE(2023,2,1)</f>
        <v>44958</v>
      </c>
      <c r="C68" s="204">
        <v>10601608</v>
      </c>
      <c r="D68" s="204">
        <v>3123761.5</v>
      </c>
      <c r="E68" s="204">
        <v>1988046.25</v>
      </c>
      <c r="F68" s="132">
        <f t="shared" si="8"/>
        <v>0.57127204661360365</v>
      </c>
      <c r="G68" s="215">
        <f t="shared" si="9"/>
        <v>0.29464978331588942</v>
      </c>
      <c r="H68" s="123"/>
    </row>
    <row r="69" spans="1:8" ht="15" customHeight="1" x14ac:dyDescent="0.25">
      <c r="A69" s="130"/>
      <c r="B69" s="131">
        <f>DATE(2023,3,1)</f>
        <v>44986</v>
      </c>
      <c r="C69" s="204">
        <v>12873061</v>
      </c>
      <c r="D69" s="204">
        <v>3779533.5</v>
      </c>
      <c r="E69" s="204">
        <v>4616996.5</v>
      </c>
      <c r="F69" s="132">
        <f t="shared" si="8"/>
        <v>-0.18138696877937854</v>
      </c>
      <c r="G69" s="215">
        <f t="shared" si="9"/>
        <v>0.29360021676274195</v>
      </c>
      <c r="H69" s="123"/>
    </row>
    <row r="70" spans="1:8" ht="15" customHeight="1" x14ac:dyDescent="0.25">
      <c r="A70" s="130"/>
      <c r="B70" s="131">
        <f>DATE(2023,4,1)</f>
        <v>45017</v>
      </c>
      <c r="C70" s="204">
        <v>11869521.5</v>
      </c>
      <c r="D70" s="204">
        <v>2915753.5</v>
      </c>
      <c r="E70" s="204">
        <v>3305603</v>
      </c>
      <c r="F70" s="132">
        <f t="shared" si="8"/>
        <v>-0.1179359711374899</v>
      </c>
      <c r="G70" s="215">
        <f t="shared" si="9"/>
        <v>0.24565046703862495</v>
      </c>
      <c r="H70" s="123"/>
    </row>
    <row r="71" spans="1:8" ht="15.75" thickBot="1" x14ac:dyDescent="0.25">
      <c r="A71" s="133"/>
      <c r="B71" s="131"/>
      <c r="C71" s="204"/>
      <c r="D71" s="204"/>
      <c r="E71" s="204"/>
      <c r="F71" s="132"/>
      <c r="G71" s="215"/>
      <c r="H71" s="123"/>
    </row>
    <row r="72" spans="1:8" ht="17.25" customHeight="1" thickTop="1" thickBot="1" x14ac:dyDescent="0.3">
      <c r="A72" s="141" t="s">
        <v>14</v>
      </c>
      <c r="B72" s="142"/>
      <c r="C72" s="207">
        <f>SUM(C61:C71)</f>
        <v>123545078.25</v>
      </c>
      <c r="D72" s="261">
        <f>SUM(D61:D71)</f>
        <v>32546137.25</v>
      </c>
      <c r="E72" s="206">
        <f>SUM(E61:E71)</f>
        <v>32257671.25</v>
      </c>
      <c r="F72" s="268">
        <f>(+D72-E72)/E72</f>
        <v>8.9425550209238994E-3</v>
      </c>
      <c r="G72" s="267">
        <f>D72/C72</f>
        <v>0.26343532021681326</v>
      </c>
      <c r="H72" s="123"/>
    </row>
    <row r="73" spans="1:8" ht="15.75" customHeight="1" thickTop="1" x14ac:dyDescent="0.25">
      <c r="A73" s="130"/>
      <c r="B73" s="134"/>
      <c r="C73" s="204"/>
      <c r="D73" s="204"/>
      <c r="E73" s="204"/>
      <c r="F73" s="132"/>
      <c r="G73" s="218"/>
      <c r="H73" s="123"/>
    </row>
    <row r="74" spans="1:8" ht="15.75" x14ac:dyDescent="0.25">
      <c r="A74" s="130" t="s">
        <v>64</v>
      </c>
      <c r="B74" s="131">
        <f>DATE(2022,7,1)</f>
        <v>44743</v>
      </c>
      <c r="C74" s="204">
        <v>3016522</v>
      </c>
      <c r="D74" s="204">
        <v>700930</v>
      </c>
      <c r="E74" s="204">
        <v>729030</v>
      </c>
      <c r="F74" s="132">
        <f t="shared" ref="F74:F83" si="10">(+D74-E74)/E74</f>
        <v>-3.8544367172818679E-2</v>
      </c>
      <c r="G74" s="215">
        <f t="shared" ref="G74:G83" si="11">D74/C74</f>
        <v>0.23236362937183949</v>
      </c>
      <c r="H74" s="123"/>
    </row>
    <row r="75" spans="1:8" ht="15.75" x14ac:dyDescent="0.25">
      <c r="A75" s="130"/>
      <c r="B75" s="131">
        <f>DATE(2022,8,1)</f>
        <v>44774</v>
      </c>
      <c r="C75" s="204">
        <v>2699781</v>
      </c>
      <c r="D75" s="204">
        <v>630145.5</v>
      </c>
      <c r="E75" s="204">
        <v>844084.5</v>
      </c>
      <c r="F75" s="132">
        <f t="shared" si="10"/>
        <v>-0.25345685177254174</v>
      </c>
      <c r="G75" s="215">
        <f t="shared" si="11"/>
        <v>0.23340615405471776</v>
      </c>
      <c r="H75" s="123"/>
    </row>
    <row r="76" spans="1:8" ht="15.75" x14ac:dyDescent="0.25">
      <c r="A76" s="130"/>
      <c r="B76" s="131">
        <f>DATE(2022,9,1)</f>
        <v>44805</v>
      </c>
      <c r="C76" s="204">
        <v>2497205</v>
      </c>
      <c r="D76" s="204">
        <v>538940</v>
      </c>
      <c r="E76" s="204">
        <v>707619</v>
      </c>
      <c r="F76" s="132">
        <f t="shared" si="10"/>
        <v>-0.23837545345729835</v>
      </c>
      <c r="G76" s="215">
        <f t="shared" si="11"/>
        <v>0.21581728372320255</v>
      </c>
      <c r="H76" s="123"/>
    </row>
    <row r="77" spans="1:8" ht="15.75" x14ac:dyDescent="0.25">
      <c r="A77" s="130"/>
      <c r="B77" s="131">
        <f>DATE(2022,10,1)</f>
        <v>44835</v>
      </c>
      <c r="C77" s="204">
        <v>2946833</v>
      </c>
      <c r="D77" s="204">
        <v>664586</v>
      </c>
      <c r="E77" s="204">
        <v>435392</v>
      </c>
      <c r="F77" s="132">
        <f t="shared" si="10"/>
        <v>0.52640838600617379</v>
      </c>
      <c r="G77" s="215">
        <f t="shared" si="11"/>
        <v>0.22552550483858433</v>
      </c>
      <c r="H77" s="123"/>
    </row>
    <row r="78" spans="1:8" ht="15.75" x14ac:dyDescent="0.25">
      <c r="A78" s="130"/>
      <c r="B78" s="131">
        <f>DATE(2022,11,1)</f>
        <v>44866</v>
      </c>
      <c r="C78" s="204">
        <v>2417115</v>
      </c>
      <c r="D78" s="204">
        <v>644592.5</v>
      </c>
      <c r="E78" s="204">
        <v>706210</v>
      </c>
      <c r="F78" s="132">
        <f t="shared" si="10"/>
        <v>-8.7250959346370061E-2</v>
      </c>
      <c r="G78" s="215">
        <f t="shared" si="11"/>
        <v>0.2666784575826967</v>
      </c>
      <c r="H78" s="123"/>
    </row>
    <row r="79" spans="1:8" ht="15.75" x14ac:dyDescent="0.25">
      <c r="A79" s="130"/>
      <c r="B79" s="131">
        <f>DATE(2022,12,1)</f>
        <v>44896</v>
      </c>
      <c r="C79" s="204">
        <v>2832616</v>
      </c>
      <c r="D79" s="204">
        <v>621789.5</v>
      </c>
      <c r="E79" s="204">
        <v>737876.5</v>
      </c>
      <c r="F79" s="132">
        <f t="shared" si="10"/>
        <v>-0.15732578554812357</v>
      </c>
      <c r="G79" s="215">
        <f t="shared" si="11"/>
        <v>0.21951069258946501</v>
      </c>
      <c r="H79" s="123"/>
    </row>
    <row r="80" spans="1:8" ht="15.75" x14ac:dyDescent="0.25">
      <c r="A80" s="130"/>
      <c r="B80" s="131">
        <f>DATE(2023,1,1)</f>
        <v>44927</v>
      </c>
      <c r="C80" s="204">
        <v>2596608</v>
      </c>
      <c r="D80" s="204">
        <v>561543</v>
      </c>
      <c r="E80" s="204">
        <v>670212</v>
      </c>
      <c r="F80" s="132">
        <f t="shared" si="10"/>
        <v>-0.16214123292331381</v>
      </c>
      <c r="G80" s="215">
        <f t="shared" si="11"/>
        <v>0.21626021332446022</v>
      </c>
      <c r="H80" s="123"/>
    </row>
    <row r="81" spans="1:8" ht="15.75" x14ac:dyDescent="0.25">
      <c r="A81" s="130"/>
      <c r="B81" s="131">
        <f>DATE(2023,2,1)</f>
        <v>44958</v>
      </c>
      <c r="C81" s="204">
        <v>2565563</v>
      </c>
      <c r="D81" s="204">
        <v>653096</v>
      </c>
      <c r="E81" s="204">
        <v>521651.5</v>
      </c>
      <c r="F81" s="132">
        <f t="shared" si="10"/>
        <v>0.25197761340665176</v>
      </c>
      <c r="G81" s="215">
        <f t="shared" si="11"/>
        <v>0.25456244886599938</v>
      </c>
      <c r="H81" s="123"/>
    </row>
    <row r="82" spans="1:8" ht="15.75" x14ac:dyDescent="0.25">
      <c r="A82" s="130"/>
      <c r="B82" s="131">
        <f>DATE(2023,3,1)</f>
        <v>44986</v>
      </c>
      <c r="C82" s="204">
        <v>2833877</v>
      </c>
      <c r="D82" s="204">
        <v>665245.5</v>
      </c>
      <c r="E82" s="204">
        <v>982292</v>
      </c>
      <c r="F82" s="132">
        <f t="shared" si="10"/>
        <v>-0.32276196894609749</v>
      </c>
      <c r="G82" s="215">
        <f t="shared" si="11"/>
        <v>0.23474748551189767</v>
      </c>
      <c r="H82" s="123"/>
    </row>
    <row r="83" spans="1:8" ht="15.75" x14ac:dyDescent="0.25">
      <c r="A83" s="130"/>
      <c r="B83" s="131">
        <f>DATE(2023,4,1)</f>
        <v>45017</v>
      </c>
      <c r="C83" s="204">
        <v>2625256</v>
      </c>
      <c r="D83" s="204">
        <v>455284</v>
      </c>
      <c r="E83" s="204">
        <v>794810.5</v>
      </c>
      <c r="F83" s="132">
        <f t="shared" si="10"/>
        <v>-0.42717918296247975</v>
      </c>
      <c r="G83" s="215">
        <f t="shared" si="11"/>
        <v>0.17342461078081528</v>
      </c>
      <c r="H83" s="123"/>
    </row>
    <row r="84" spans="1:8" ht="15.75" customHeight="1" thickBot="1" x14ac:dyDescent="0.3">
      <c r="A84" s="130"/>
      <c r="B84" s="131"/>
      <c r="C84" s="204"/>
      <c r="D84" s="204"/>
      <c r="E84" s="204"/>
      <c r="F84" s="132"/>
      <c r="G84" s="215"/>
      <c r="H84" s="123"/>
    </row>
    <row r="85" spans="1:8" ht="17.25" thickTop="1" thickBot="1" x14ac:dyDescent="0.3">
      <c r="A85" s="141" t="s">
        <v>14</v>
      </c>
      <c r="B85" s="142"/>
      <c r="C85" s="207">
        <f>SUM(C74:C84)</f>
        <v>27031376</v>
      </c>
      <c r="D85" s="261">
        <f>SUM(D74:D84)</f>
        <v>6136152</v>
      </c>
      <c r="E85" s="207">
        <f>SUM(E74:E84)</f>
        <v>7129178</v>
      </c>
      <c r="F85" s="268">
        <f>(+D85-E85)/E85</f>
        <v>-0.13929039224437936</v>
      </c>
      <c r="G85" s="267">
        <f>D85/C85</f>
        <v>0.2270010967995118</v>
      </c>
      <c r="H85" s="123"/>
    </row>
    <row r="86" spans="1:8" ht="15.75" customHeight="1" thickTop="1" x14ac:dyDescent="0.25">
      <c r="A86" s="130"/>
      <c r="B86" s="134"/>
      <c r="C86" s="204"/>
      <c r="D86" s="204"/>
      <c r="E86" s="204"/>
      <c r="F86" s="132"/>
      <c r="G86" s="218"/>
      <c r="H86" s="123"/>
    </row>
    <row r="87" spans="1:8" ht="15.75" x14ac:dyDescent="0.25">
      <c r="A87" s="130" t="s">
        <v>67</v>
      </c>
      <c r="B87" s="131">
        <f>DATE(2022,7,1)</f>
        <v>44743</v>
      </c>
      <c r="C87" s="204">
        <v>6177101</v>
      </c>
      <c r="D87" s="204">
        <v>951854</v>
      </c>
      <c r="E87" s="204">
        <v>1067021</v>
      </c>
      <c r="F87" s="132">
        <f t="shared" ref="F87:F96" si="12">(+D87-E87)/E87</f>
        <v>-0.10793320843732222</v>
      </c>
      <c r="G87" s="215">
        <f t="shared" ref="G87:G96" si="13">D87/C87</f>
        <v>0.15409396738049128</v>
      </c>
      <c r="H87" s="123"/>
    </row>
    <row r="88" spans="1:8" ht="15.75" x14ac:dyDescent="0.25">
      <c r="A88" s="130"/>
      <c r="B88" s="131">
        <f>DATE(2022,8,1)</f>
        <v>44774</v>
      </c>
      <c r="C88" s="204">
        <v>6063193</v>
      </c>
      <c r="D88" s="204">
        <v>1029739</v>
      </c>
      <c r="E88" s="204">
        <v>666603.5</v>
      </c>
      <c r="F88" s="132">
        <f t="shared" si="12"/>
        <v>0.54475486552350838</v>
      </c>
      <c r="G88" s="215">
        <f t="shared" si="13"/>
        <v>0.16983444201759701</v>
      </c>
      <c r="H88" s="123"/>
    </row>
    <row r="89" spans="1:8" ht="15.75" x14ac:dyDescent="0.25">
      <c r="A89" s="130"/>
      <c r="B89" s="131">
        <f>DATE(2022,9,1)</f>
        <v>44805</v>
      </c>
      <c r="C89" s="204">
        <v>6587163</v>
      </c>
      <c r="D89" s="204">
        <v>389281</v>
      </c>
      <c r="E89" s="204">
        <v>1135711.5</v>
      </c>
      <c r="F89" s="132">
        <f t="shared" si="12"/>
        <v>-0.657236014604061</v>
      </c>
      <c r="G89" s="215">
        <f t="shared" si="13"/>
        <v>5.9096913193130332E-2</v>
      </c>
      <c r="H89" s="123"/>
    </row>
    <row r="90" spans="1:8" ht="15.75" x14ac:dyDescent="0.25">
      <c r="A90" s="130"/>
      <c r="B90" s="131">
        <f>DATE(2022,10,1)</f>
        <v>44835</v>
      </c>
      <c r="C90" s="204">
        <v>6082166</v>
      </c>
      <c r="D90" s="204">
        <v>1134882.5</v>
      </c>
      <c r="E90" s="204">
        <v>1168170.5</v>
      </c>
      <c r="F90" s="132">
        <f t="shared" si="12"/>
        <v>-2.8495840290437054E-2</v>
      </c>
      <c r="G90" s="215">
        <f t="shared" si="13"/>
        <v>0.18659183258069575</v>
      </c>
      <c r="H90" s="123"/>
    </row>
    <row r="91" spans="1:8" ht="15.75" x14ac:dyDescent="0.25">
      <c r="A91" s="130"/>
      <c r="B91" s="131">
        <f>DATE(2022,11,1)</f>
        <v>44866</v>
      </c>
      <c r="C91" s="204">
        <v>5974545</v>
      </c>
      <c r="D91" s="204">
        <v>1197761</v>
      </c>
      <c r="E91" s="204">
        <v>1079072</v>
      </c>
      <c r="F91" s="132">
        <f t="shared" si="12"/>
        <v>0.10999173363779248</v>
      </c>
      <c r="G91" s="215">
        <f t="shared" si="13"/>
        <v>0.20047735852688364</v>
      </c>
      <c r="H91" s="123"/>
    </row>
    <row r="92" spans="1:8" ht="15.75" x14ac:dyDescent="0.25">
      <c r="A92" s="130"/>
      <c r="B92" s="131">
        <f>DATE(2022,12,1)</f>
        <v>44896</v>
      </c>
      <c r="C92" s="204">
        <v>5430834</v>
      </c>
      <c r="D92" s="204">
        <v>867923</v>
      </c>
      <c r="E92" s="204">
        <v>924398</v>
      </c>
      <c r="F92" s="132">
        <f t="shared" si="12"/>
        <v>-6.1093814569049262E-2</v>
      </c>
      <c r="G92" s="215">
        <f t="shared" si="13"/>
        <v>0.1598139438620293</v>
      </c>
      <c r="H92" s="123"/>
    </row>
    <row r="93" spans="1:8" ht="15.75" x14ac:dyDescent="0.25">
      <c r="A93" s="130"/>
      <c r="B93" s="131">
        <f>DATE(2023,1,1)</f>
        <v>44927</v>
      </c>
      <c r="C93" s="204">
        <v>6222780</v>
      </c>
      <c r="D93" s="204">
        <v>1084536.5</v>
      </c>
      <c r="E93" s="204">
        <v>1117761</v>
      </c>
      <c r="F93" s="132">
        <f t="shared" si="12"/>
        <v>-2.9724153911256521E-2</v>
      </c>
      <c r="G93" s="215">
        <f t="shared" si="13"/>
        <v>0.1742848855334754</v>
      </c>
      <c r="H93" s="123"/>
    </row>
    <row r="94" spans="1:8" ht="15.75" x14ac:dyDescent="0.25">
      <c r="A94" s="130"/>
      <c r="B94" s="131">
        <f>DATE(2023,2,1)</f>
        <v>44958</v>
      </c>
      <c r="C94" s="204">
        <v>5787383</v>
      </c>
      <c r="D94" s="204">
        <v>924380.5</v>
      </c>
      <c r="E94" s="204">
        <v>933678</v>
      </c>
      <c r="F94" s="132">
        <f t="shared" si="12"/>
        <v>-9.9579298216301553E-3</v>
      </c>
      <c r="G94" s="215">
        <f t="shared" si="13"/>
        <v>0.15972340175170713</v>
      </c>
      <c r="H94" s="123"/>
    </row>
    <row r="95" spans="1:8" ht="15.75" x14ac:dyDescent="0.25">
      <c r="A95" s="130"/>
      <c r="B95" s="131">
        <f>DATE(2023,3,1)</f>
        <v>44986</v>
      </c>
      <c r="C95" s="204">
        <v>6706007</v>
      </c>
      <c r="D95" s="204">
        <v>1007842.5</v>
      </c>
      <c r="E95" s="204">
        <v>957431</v>
      </c>
      <c r="F95" s="132">
        <f t="shared" si="12"/>
        <v>5.2652880468670851E-2</v>
      </c>
      <c r="G95" s="215">
        <f t="shared" si="13"/>
        <v>0.15028950909237046</v>
      </c>
      <c r="H95" s="123"/>
    </row>
    <row r="96" spans="1:8" ht="15.75" x14ac:dyDescent="0.25">
      <c r="A96" s="130"/>
      <c r="B96" s="131">
        <f>DATE(2023,4,1)</f>
        <v>45017</v>
      </c>
      <c r="C96" s="204">
        <v>7597204</v>
      </c>
      <c r="D96" s="204">
        <v>1326409</v>
      </c>
      <c r="E96" s="204">
        <v>1196941.5</v>
      </c>
      <c r="F96" s="132">
        <f t="shared" si="12"/>
        <v>0.10816526956413493</v>
      </c>
      <c r="G96" s="215">
        <f t="shared" si="13"/>
        <v>0.1745917313790705</v>
      </c>
      <c r="H96" s="123"/>
    </row>
    <row r="97" spans="1:8" ht="15.75" customHeight="1" thickBot="1" x14ac:dyDescent="0.3">
      <c r="A97" s="130"/>
      <c r="B97" s="131"/>
      <c r="C97" s="204"/>
      <c r="D97" s="204"/>
      <c r="E97" s="204"/>
      <c r="F97" s="132"/>
      <c r="G97" s="215"/>
      <c r="H97" s="123"/>
    </row>
    <row r="98" spans="1:8" ht="17.25" thickTop="1" thickBot="1" x14ac:dyDescent="0.3">
      <c r="A98" s="141" t="s">
        <v>14</v>
      </c>
      <c r="B98" s="142"/>
      <c r="C98" s="207">
        <f>SUM(C87:C97)</f>
        <v>62628376</v>
      </c>
      <c r="D98" s="261">
        <f>SUM(D87:D97)</f>
        <v>9914609</v>
      </c>
      <c r="E98" s="207">
        <f>SUM(E87:E97)</f>
        <v>10246788</v>
      </c>
      <c r="F98" s="269">
        <f>(+D98-E98)/E98</f>
        <v>-3.2417865969316437E-2</v>
      </c>
      <c r="G98" s="267">
        <f>D98/C98</f>
        <v>0.1583085756526722</v>
      </c>
      <c r="H98" s="123"/>
    </row>
    <row r="99" spans="1:8" ht="15.75" customHeight="1" thickTop="1" x14ac:dyDescent="0.25">
      <c r="A99" s="130"/>
      <c r="B99" s="139"/>
      <c r="C99" s="205"/>
      <c r="D99" s="205"/>
      <c r="E99" s="205"/>
      <c r="F99" s="140"/>
      <c r="G99" s="216"/>
      <c r="H99" s="123"/>
    </row>
    <row r="100" spans="1:8" ht="15.75" x14ac:dyDescent="0.25">
      <c r="A100" s="130" t="s">
        <v>69</v>
      </c>
      <c r="B100" s="131">
        <f>DATE(2022,7,1)</f>
        <v>44743</v>
      </c>
      <c r="C100" s="204">
        <v>5606930</v>
      </c>
      <c r="D100" s="204">
        <v>1405783</v>
      </c>
      <c r="E100" s="204">
        <v>1287648</v>
      </c>
      <c r="F100" s="132">
        <f t="shared" ref="F100:F109" si="14">(+D100-E100)/E100</f>
        <v>9.1744793608191058E-2</v>
      </c>
      <c r="G100" s="215">
        <f t="shared" ref="G100:G109" si="15">D100/C100</f>
        <v>0.25072240958956149</v>
      </c>
      <c r="H100" s="123"/>
    </row>
    <row r="101" spans="1:8" ht="15.75" x14ac:dyDescent="0.25">
      <c r="A101" s="130"/>
      <c r="B101" s="131">
        <f>DATE(2022,8,1)</f>
        <v>44774</v>
      </c>
      <c r="C101" s="204">
        <v>5378141</v>
      </c>
      <c r="D101" s="204">
        <v>1387184.42</v>
      </c>
      <c r="E101" s="204">
        <v>1323019.5</v>
      </c>
      <c r="F101" s="132">
        <f t="shared" si="14"/>
        <v>4.8498846766808747E-2</v>
      </c>
      <c r="G101" s="215">
        <f t="shared" si="15"/>
        <v>0.25793009517600968</v>
      </c>
      <c r="H101" s="123"/>
    </row>
    <row r="102" spans="1:8" ht="15.75" x14ac:dyDescent="0.25">
      <c r="A102" s="130"/>
      <c r="B102" s="131">
        <f>DATE(2022,9,1)</f>
        <v>44805</v>
      </c>
      <c r="C102" s="204">
        <v>5602602</v>
      </c>
      <c r="D102" s="204">
        <v>1318470</v>
      </c>
      <c r="E102" s="204">
        <v>858985.36</v>
      </c>
      <c r="F102" s="132">
        <f t="shared" si="14"/>
        <v>0.53491556596494272</v>
      </c>
      <c r="G102" s="215">
        <f t="shared" si="15"/>
        <v>0.23533172622292284</v>
      </c>
      <c r="H102" s="123"/>
    </row>
    <row r="103" spans="1:8" ht="15.75" x14ac:dyDescent="0.25">
      <c r="A103" s="130"/>
      <c r="B103" s="131">
        <f>DATE(2022,10,1)</f>
        <v>44835</v>
      </c>
      <c r="C103" s="204">
        <v>5424917</v>
      </c>
      <c r="D103" s="204">
        <v>1379988.01</v>
      </c>
      <c r="E103" s="204">
        <v>980676.58</v>
      </c>
      <c r="F103" s="132">
        <f t="shared" si="14"/>
        <v>0.40717953109474692</v>
      </c>
      <c r="G103" s="215">
        <f t="shared" si="15"/>
        <v>0.25437956193615496</v>
      </c>
      <c r="H103" s="123"/>
    </row>
    <row r="104" spans="1:8" ht="15.75" x14ac:dyDescent="0.25">
      <c r="A104" s="130"/>
      <c r="B104" s="131">
        <f>DATE(2022,11,1)</f>
        <v>44866</v>
      </c>
      <c r="C104" s="204">
        <v>4989462</v>
      </c>
      <c r="D104" s="204">
        <v>1234881.42</v>
      </c>
      <c r="E104" s="204">
        <v>1337612.57</v>
      </c>
      <c r="F104" s="132">
        <f t="shared" si="14"/>
        <v>-7.6801872458480358E-2</v>
      </c>
      <c r="G104" s="215">
        <f t="shared" si="15"/>
        <v>0.24749791059637291</v>
      </c>
      <c r="H104" s="123"/>
    </row>
    <row r="105" spans="1:8" ht="15.75" x14ac:dyDescent="0.25">
      <c r="A105" s="130"/>
      <c r="B105" s="131">
        <f>DATE(2022,12,1)</f>
        <v>44896</v>
      </c>
      <c r="C105" s="204">
        <v>5823111</v>
      </c>
      <c r="D105" s="204">
        <v>1290058.78</v>
      </c>
      <c r="E105" s="204">
        <v>927044</v>
      </c>
      <c r="F105" s="132">
        <f t="shared" si="14"/>
        <v>0.39158311795340894</v>
      </c>
      <c r="G105" s="215">
        <f t="shared" si="15"/>
        <v>0.22154116244735847</v>
      </c>
      <c r="H105" s="123"/>
    </row>
    <row r="106" spans="1:8" ht="15.75" x14ac:dyDescent="0.25">
      <c r="A106" s="130"/>
      <c r="B106" s="131">
        <f>DATE(2023,1,1)</f>
        <v>44927</v>
      </c>
      <c r="C106" s="204">
        <v>5534309</v>
      </c>
      <c r="D106" s="204">
        <v>1422588.36</v>
      </c>
      <c r="E106" s="204">
        <v>922135.79</v>
      </c>
      <c r="F106" s="132">
        <f t="shared" si="14"/>
        <v>0.54271027697558516</v>
      </c>
      <c r="G106" s="215">
        <f t="shared" si="15"/>
        <v>0.25704895769282127</v>
      </c>
      <c r="H106" s="123"/>
    </row>
    <row r="107" spans="1:8" ht="15.75" x14ac:dyDescent="0.25">
      <c r="A107" s="130"/>
      <c r="B107" s="131">
        <f>DATE(2023,2,1)</f>
        <v>44958</v>
      </c>
      <c r="C107" s="204">
        <v>5528109</v>
      </c>
      <c r="D107" s="204">
        <v>1163658.3</v>
      </c>
      <c r="E107" s="204">
        <v>1013590.48</v>
      </c>
      <c r="F107" s="132">
        <f t="shared" si="14"/>
        <v>0.14805567234609393</v>
      </c>
      <c r="G107" s="215">
        <f t="shared" si="15"/>
        <v>0.21049843626455267</v>
      </c>
      <c r="H107" s="123"/>
    </row>
    <row r="108" spans="1:8" ht="15.75" x14ac:dyDescent="0.25">
      <c r="A108" s="130"/>
      <c r="B108" s="131">
        <f>DATE(2023,3,1)</f>
        <v>44986</v>
      </c>
      <c r="C108" s="204">
        <v>6985921</v>
      </c>
      <c r="D108" s="204">
        <v>1328707.6599999999</v>
      </c>
      <c r="E108" s="204">
        <v>1404872.12</v>
      </c>
      <c r="F108" s="132">
        <f t="shared" si="14"/>
        <v>-5.421451455667025E-2</v>
      </c>
      <c r="G108" s="215">
        <f t="shared" si="15"/>
        <v>0.19019792236413779</v>
      </c>
      <c r="H108" s="123"/>
    </row>
    <row r="109" spans="1:8" ht="15.75" x14ac:dyDescent="0.25">
      <c r="A109" s="130"/>
      <c r="B109" s="131">
        <f>DATE(2023,4,1)</f>
        <v>45017</v>
      </c>
      <c r="C109" s="204">
        <v>6172202</v>
      </c>
      <c r="D109" s="204">
        <v>1720849.86</v>
      </c>
      <c r="E109" s="204">
        <v>1215863</v>
      </c>
      <c r="F109" s="132">
        <f t="shared" si="14"/>
        <v>0.41533203987620326</v>
      </c>
      <c r="G109" s="215">
        <f t="shared" si="15"/>
        <v>0.27880647133713382</v>
      </c>
      <c r="H109" s="123"/>
    </row>
    <row r="110" spans="1:8" ht="15.75" customHeight="1" thickBot="1" x14ac:dyDescent="0.3">
      <c r="A110" s="130"/>
      <c r="B110" s="131"/>
      <c r="C110" s="204"/>
      <c r="D110" s="204"/>
      <c r="E110" s="204"/>
      <c r="F110" s="132"/>
      <c r="G110" s="215"/>
      <c r="H110" s="123"/>
    </row>
    <row r="111" spans="1:8" ht="17.25" thickTop="1" thickBot="1" x14ac:dyDescent="0.3">
      <c r="A111" s="141" t="s">
        <v>14</v>
      </c>
      <c r="B111" s="142"/>
      <c r="C111" s="206">
        <f>SUM(C100:C110)</f>
        <v>57045704</v>
      </c>
      <c r="D111" s="206">
        <f>SUM(D100:D110)</f>
        <v>13652169.810000001</v>
      </c>
      <c r="E111" s="206">
        <f>SUM(E100:E110)</f>
        <v>11271447.399999999</v>
      </c>
      <c r="F111" s="143">
        <f>(+D111-E111)/E111</f>
        <v>0.21121709799222435</v>
      </c>
      <c r="G111" s="217">
        <f>D111/C111</f>
        <v>0.23931985851204501</v>
      </c>
      <c r="H111" s="123"/>
    </row>
    <row r="112" spans="1:8" ht="15.75" customHeight="1" thickTop="1" x14ac:dyDescent="0.25">
      <c r="A112" s="138"/>
      <c r="B112" s="139"/>
      <c r="C112" s="205"/>
      <c r="D112" s="205"/>
      <c r="E112" s="205"/>
      <c r="F112" s="140"/>
      <c r="G112" s="216"/>
      <c r="H112" s="123"/>
    </row>
    <row r="113" spans="1:8" ht="15.75" x14ac:dyDescent="0.25">
      <c r="A113" s="130" t="s">
        <v>16</v>
      </c>
      <c r="B113" s="131">
        <f>DATE(2022,7,1)</f>
        <v>44743</v>
      </c>
      <c r="C113" s="204">
        <v>10366880</v>
      </c>
      <c r="D113" s="204">
        <v>2289729.5</v>
      </c>
      <c r="E113" s="204">
        <v>1960105</v>
      </c>
      <c r="F113" s="132">
        <f t="shared" ref="F113:F122" si="16">(+D113-E113)/E113</f>
        <v>0.16816675637274534</v>
      </c>
      <c r="G113" s="215">
        <f t="shared" ref="G113:G122" si="17">D113/C113</f>
        <v>0.22086968306761534</v>
      </c>
      <c r="H113" s="123"/>
    </row>
    <row r="114" spans="1:8" ht="15.75" x14ac:dyDescent="0.25">
      <c r="A114" s="130"/>
      <c r="B114" s="131">
        <f>DATE(2022,8,1)</f>
        <v>44774</v>
      </c>
      <c r="C114" s="204">
        <v>9734457</v>
      </c>
      <c r="D114" s="204">
        <v>2099615</v>
      </c>
      <c r="E114" s="204">
        <v>2275188.5</v>
      </c>
      <c r="F114" s="132">
        <f t="shared" si="16"/>
        <v>-7.7168770851294297E-2</v>
      </c>
      <c r="G114" s="215">
        <f t="shared" si="17"/>
        <v>0.21568896960559794</v>
      </c>
      <c r="H114" s="123"/>
    </row>
    <row r="115" spans="1:8" ht="15.75" x14ac:dyDescent="0.25">
      <c r="A115" s="130"/>
      <c r="B115" s="131">
        <f>DATE(2022,9,1)</f>
        <v>44805</v>
      </c>
      <c r="C115" s="204">
        <v>9237427</v>
      </c>
      <c r="D115" s="204">
        <v>1892853.5</v>
      </c>
      <c r="E115" s="204">
        <v>937001</v>
      </c>
      <c r="F115" s="132">
        <f t="shared" si="16"/>
        <v>1.0201189753266005</v>
      </c>
      <c r="G115" s="215">
        <f t="shared" si="17"/>
        <v>0.20491133515858909</v>
      </c>
      <c r="H115" s="123"/>
    </row>
    <row r="116" spans="1:8" ht="15.75" x14ac:dyDescent="0.25">
      <c r="A116" s="130"/>
      <c r="B116" s="131">
        <f>DATE(2022,10,1)</f>
        <v>44835</v>
      </c>
      <c r="C116" s="204">
        <v>10140690</v>
      </c>
      <c r="D116" s="204">
        <v>1720920</v>
      </c>
      <c r="E116" s="204">
        <v>1775955</v>
      </c>
      <c r="F116" s="132">
        <f t="shared" si="16"/>
        <v>-3.0988960868940936E-2</v>
      </c>
      <c r="G116" s="215">
        <f t="shared" si="17"/>
        <v>0.16970442839688424</v>
      </c>
      <c r="H116" s="123"/>
    </row>
    <row r="117" spans="1:8" ht="15.75" x14ac:dyDescent="0.25">
      <c r="A117" s="130"/>
      <c r="B117" s="131">
        <f>DATE(2022,11,1)</f>
        <v>44866</v>
      </c>
      <c r="C117" s="204">
        <v>9461662</v>
      </c>
      <c r="D117" s="204">
        <v>1878662</v>
      </c>
      <c r="E117" s="204">
        <v>2248532.5</v>
      </c>
      <c r="F117" s="132">
        <f t="shared" si="16"/>
        <v>-0.16449417564567112</v>
      </c>
      <c r="G117" s="215">
        <f t="shared" si="17"/>
        <v>0.19855517984049736</v>
      </c>
      <c r="H117" s="123"/>
    </row>
    <row r="118" spans="1:8" ht="15.75" x14ac:dyDescent="0.25">
      <c r="A118" s="130"/>
      <c r="B118" s="131">
        <f>DATE(2022,12,1)</f>
        <v>44896</v>
      </c>
      <c r="C118" s="204">
        <v>9800152.3000000007</v>
      </c>
      <c r="D118" s="204">
        <v>2169033.7999999998</v>
      </c>
      <c r="E118" s="204">
        <v>1877718</v>
      </c>
      <c r="F118" s="132">
        <f t="shared" si="16"/>
        <v>0.15514353060470198</v>
      </c>
      <c r="G118" s="215">
        <f t="shared" si="17"/>
        <v>0.22132653999673044</v>
      </c>
      <c r="H118" s="123"/>
    </row>
    <row r="119" spans="1:8" ht="15.75" x14ac:dyDescent="0.25">
      <c r="A119" s="130"/>
      <c r="B119" s="131">
        <f>DATE(2023,1,1)</f>
        <v>44927</v>
      </c>
      <c r="C119" s="204">
        <v>9824285.0399999991</v>
      </c>
      <c r="D119" s="204">
        <v>2093677.04</v>
      </c>
      <c r="E119" s="204">
        <v>1684861.5</v>
      </c>
      <c r="F119" s="132">
        <f t="shared" si="16"/>
        <v>0.24264044255269648</v>
      </c>
      <c r="G119" s="215">
        <f t="shared" si="17"/>
        <v>0.21311240782158741</v>
      </c>
      <c r="H119" s="123"/>
    </row>
    <row r="120" spans="1:8" ht="15.75" x14ac:dyDescent="0.25">
      <c r="A120" s="130"/>
      <c r="B120" s="131">
        <f>DATE(2023,2,1)</f>
        <v>44958</v>
      </c>
      <c r="C120" s="204">
        <v>8427479</v>
      </c>
      <c r="D120" s="204">
        <v>1592170</v>
      </c>
      <c r="E120" s="204">
        <v>1881049</v>
      </c>
      <c r="F120" s="132">
        <f t="shared" si="16"/>
        <v>-0.15357335189035479</v>
      </c>
      <c r="G120" s="215">
        <f t="shared" si="17"/>
        <v>0.18892601215618574</v>
      </c>
      <c r="H120" s="123"/>
    </row>
    <row r="121" spans="1:8" ht="15.75" x14ac:dyDescent="0.25">
      <c r="A121" s="130"/>
      <c r="B121" s="131">
        <f>DATE(2023,3,1)</f>
        <v>44986</v>
      </c>
      <c r="C121" s="204">
        <v>10673563</v>
      </c>
      <c r="D121" s="204">
        <v>1970288.5</v>
      </c>
      <c r="E121" s="204">
        <v>2361969</v>
      </c>
      <c r="F121" s="132">
        <f t="shared" si="16"/>
        <v>-0.16582795963875901</v>
      </c>
      <c r="G121" s="215">
        <f t="shared" si="17"/>
        <v>0.18459520030939996</v>
      </c>
      <c r="H121" s="123"/>
    </row>
    <row r="122" spans="1:8" ht="15.75" x14ac:dyDescent="0.25">
      <c r="A122" s="130"/>
      <c r="B122" s="131">
        <f>DATE(2023,4,1)</f>
        <v>45017</v>
      </c>
      <c r="C122" s="204">
        <v>9849015.5</v>
      </c>
      <c r="D122" s="204">
        <v>2451828.5</v>
      </c>
      <c r="E122" s="204">
        <v>1614348</v>
      </c>
      <c r="F122" s="132">
        <f t="shared" si="16"/>
        <v>0.51877321370609064</v>
      </c>
      <c r="G122" s="215">
        <f t="shared" si="17"/>
        <v>0.24894148049619783</v>
      </c>
      <c r="H122" s="123"/>
    </row>
    <row r="123" spans="1:8" ht="15.75" customHeight="1" thickBot="1" x14ac:dyDescent="0.3">
      <c r="A123" s="130"/>
      <c r="B123" s="131"/>
      <c r="C123" s="204"/>
      <c r="D123" s="204"/>
      <c r="E123" s="204"/>
      <c r="F123" s="132"/>
      <c r="G123" s="215"/>
      <c r="H123" s="123"/>
    </row>
    <row r="124" spans="1:8" ht="17.25" thickTop="1" thickBot="1" x14ac:dyDescent="0.3">
      <c r="A124" s="141" t="s">
        <v>14</v>
      </c>
      <c r="B124" s="142"/>
      <c r="C124" s="206">
        <f>SUM(C113:C123)</f>
        <v>97515610.840000004</v>
      </c>
      <c r="D124" s="206">
        <f>SUM(D113:D123)</f>
        <v>20158777.84</v>
      </c>
      <c r="E124" s="206">
        <f>SUM(E113:E123)</f>
        <v>18616727.5</v>
      </c>
      <c r="F124" s="143">
        <f>(+D124-E124)/E124</f>
        <v>8.2831439628688761E-2</v>
      </c>
      <c r="G124" s="217">
        <f>D124/C124</f>
        <v>0.20672359703592252</v>
      </c>
      <c r="H124" s="123"/>
    </row>
    <row r="125" spans="1:8" ht="15.75" customHeight="1" thickTop="1" x14ac:dyDescent="0.25">
      <c r="A125" s="138"/>
      <c r="B125" s="139"/>
      <c r="C125" s="205"/>
      <c r="D125" s="205"/>
      <c r="E125" s="205"/>
      <c r="F125" s="140"/>
      <c r="G125" s="216"/>
      <c r="H125" s="123"/>
    </row>
    <row r="126" spans="1:8" ht="15.75" x14ac:dyDescent="0.25">
      <c r="A126" s="130" t="s">
        <v>53</v>
      </c>
      <c r="B126" s="131">
        <f>DATE(2022,7,1)</f>
        <v>44743</v>
      </c>
      <c r="C126" s="204">
        <v>14277956</v>
      </c>
      <c r="D126" s="204">
        <v>2740415.54</v>
      </c>
      <c r="E126" s="204">
        <v>2503594.66</v>
      </c>
      <c r="F126" s="132">
        <f t="shared" ref="F126:F135" si="18">(+D126-E126)/E126</f>
        <v>9.4592341078088046E-2</v>
      </c>
      <c r="G126" s="215">
        <f t="shared" ref="G126:G135" si="19">D126/C126</f>
        <v>0.19193332294902715</v>
      </c>
      <c r="H126" s="123"/>
    </row>
    <row r="127" spans="1:8" ht="15.75" x14ac:dyDescent="0.25">
      <c r="A127" s="130"/>
      <c r="B127" s="131">
        <f>DATE(2022,8,1)</f>
        <v>44774</v>
      </c>
      <c r="C127" s="204">
        <v>14131755</v>
      </c>
      <c r="D127" s="204">
        <v>2942976.84</v>
      </c>
      <c r="E127" s="204">
        <v>2041955.48</v>
      </c>
      <c r="F127" s="132">
        <f t="shared" si="18"/>
        <v>0.44125416485573909</v>
      </c>
      <c r="G127" s="215">
        <f t="shared" si="19"/>
        <v>0.20825274992384171</v>
      </c>
      <c r="H127" s="123"/>
    </row>
    <row r="128" spans="1:8" ht="15.75" x14ac:dyDescent="0.25">
      <c r="A128" s="130"/>
      <c r="B128" s="131">
        <f>DATE(2022,9,1)</f>
        <v>44805</v>
      </c>
      <c r="C128" s="204">
        <v>13855244</v>
      </c>
      <c r="D128" s="204">
        <v>2470080.11</v>
      </c>
      <c r="E128" s="204">
        <v>2713567.27</v>
      </c>
      <c r="F128" s="132">
        <f t="shared" si="18"/>
        <v>-8.9729546303084703E-2</v>
      </c>
      <c r="G128" s="215">
        <f t="shared" si="19"/>
        <v>0.17827763336394509</v>
      </c>
      <c r="H128" s="123"/>
    </row>
    <row r="129" spans="1:8" ht="15.75" x14ac:dyDescent="0.25">
      <c r="A129" s="130"/>
      <c r="B129" s="131">
        <f>DATE(2022,10,1)</f>
        <v>44835</v>
      </c>
      <c r="C129" s="204">
        <v>14256461</v>
      </c>
      <c r="D129" s="204">
        <v>3215532.42</v>
      </c>
      <c r="E129" s="204">
        <v>2659301.4700000002</v>
      </c>
      <c r="F129" s="132">
        <f t="shared" si="18"/>
        <v>0.20916430734722216</v>
      </c>
      <c r="G129" s="215">
        <f t="shared" si="19"/>
        <v>0.22554913312637687</v>
      </c>
      <c r="H129" s="123"/>
    </row>
    <row r="130" spans="1:8" ht="15.75" x14ac:dyDescent="0.25">
      <c r="A130" s="130"/>
      <c r="B130" s="131">
        <f>DATE(2022,11,1)</f>
        <v>44866</v>
      </c>
      <c r="C130" s="204">
        <v>13386623</v>
      </c>
      <c r="D130" s="204">
        <v>3265973.52</v>
      </c>
      <c r="E130" s="204">
        <v>2735220.29</v>
      </c>
      <c r="F130" s="132">
        <f t="shared" si="18"/>
        <v>0.19404405266385324</v>
      </c>
      <c r="G130" s="215">
        <f t="shared" si="19"/>
        <v>0.24397292132601328</v>
      </c>
      <c r="H130" s="123"/>
    </row>
    <row r="131" spans="1:8" ht="15.75" x14ac:dyDescent="0.25">
      <c r="A131" s="130"/>
      <c r="B131" s="131">
        <f>DATE(2022,12,1)</f>
        <v>44896</v>
      </c>
      <c r="C131" s="204">
        <v>15242874</v>
      </c>
      <c r="D131" s="204">
        <v>2403855.66</v>
      </c>
      <c r="E131" s="204">
        <v>3180649.5</v>
      </c>
      <c r="F131" s="132">
        <f t="shared" si="18"/>
        <v>-0.24422491066683075</v>
      </c>
      <c r="G131" s="215">
        <f t="shared" si="19"/>
        <v>0.15770357086203035</v>
      </c>
      <c r="H131" s="123"/>
    </row>
    <row r="132" spans="1:8" ht="15.75" x14ac:dyDescent="0.25">
      <c r="A132" s="130"/>
      <c r="B132" s="131">
        <f>DATE(2023,1,1)</f>
        <v>44927</v>
      </c>
      <c r="C132" s="204">
        <v>13415382</v>
      </c>
      <c r="D132" s="204">
        <v>3153729.45</v>
      </c>
      <c r="E132" s="204">
        <v>2491683.5699999998</v>
      </c>
      <c r="F132" s="132">
        <f t="shared" si="18"/>
        <v>0.26570222959731615</v>
      </c>
      <c r="G132" s="215">
        <f t="shared" si="19"/>
        <v>0.23508308969509778</v>
      </c>
      <c r="H132" s="123"/>
    </row>
    <row r="133" spans="1:8" ht="15.75" x14ac:dyDescent="0.25">
      <c r="A133" s="130"/>
      <c r="B133" s="131">
        <f>DATE(2023,2,1)</f>
        <v>44958</v>
      </c>
      <c r="C133" s="204">
        <v>12458702</v>
      </c>
      <c r="D133" s="204">
        <v>2846898.89</v>
      </c>
      <c r="E133" s="204">
        <v>2634766.65</v>
      </c>
      <c r="F133" s="132">
        <f t="shared" si="18"/>
        <v>8.0512723963619415E-2</v>
      </c>
      <c r="G133" s="215">
        <f t="shared" si="19"/>
        <v>0.22850686130866604</v>
      </c>
      <c r="H133" s="123"/>
    </row>
    <row r="134" spans="1:8" ht="15.75" x14ac:dyDescent="0.25">
      <c r="A134" s="130"/>
      <c r="B134" s="131">
        <f>DATE(2023,3,1)</f>
        <v>44986</v>
      </c>
      <c r="C134" s="204">
        <v>14663269</v>
      </c>
      <c r="D134" s="204">
        <v>3199533</v>
      </c>
      <c r="E134" s="204">
        <v>3434413.46</v>
      </c>
      <c r="F134" s="132">
        <f t="shared" si="18"/>
        <v>-6.8390268887427427E-2</v>
      </c>
      <c r="G134" s="215">
        <f t="shared" si="19"/>
        <v>0.21820052540807919</v>
      </c>
      <c r="H134" s="123"/>
    </row>
    <row r="135" spans="1:8" ht="15.75" x14ac:dyDescent="0.25">
      <c r="A135" s="130"/>
      <c r="B135" s="131">
        <f>DATE(2023,4,1)</f>
        <v>45017</v>
      </c>
      <c r="C135" s="204">
        <v>15071332</v>
      </c>
      <c r="D135" s="204">
        <v>2871825.14</v>
      </c>
      <c r="E135" s="204">
        <v>3588675.89</v>
      </c>
      <c r="F135" s="132">
        <f t="shared" si="18"/>
        <v>-0.19975355032688671</v>
      </c>
      <c r="G135" s="215">
        <f t="shared" si="19"/>
        <v>0.19054886057848106</v>
      </c>
      <c r="H135" s="123"/>
    </row>
    <row r="136" spans="1:8" ht="15.75" thickBot="1" x14ac:dyDescent="0.25">
      <c r="A136" s="133"/>
      <c r="B136" s="131"/>
      <c r="C136" s="204"/>
      <c r="D136" s="204"/>
      <c r="E136" s="204"/>
      <c r="F136" s="132"/>
      <c r="G136" s="215"/>
      <c r="H136" s="123"/>
    </row>
    <row r="137" spans="1:8" ht="17.25" thickTop="1" thickBot="1" x14ac:dyDescent="0.3">
      <c r="A137" s="141" t="s">
        <v>14</v>
      </c>
      <c r="B137" s="142"/>
      <c r="C137" s="207">
        <f>SUM(C126:C136)</f>
        <v>140759598</v>
      </c>
      <c r="D137" s="207">
        <f>SUM(D126:D136)</f>
        <v>29110820.57</v>
      </c>
      <c r="E137" s="207">
        <f>SUM(E126:E136)</f>
        <v>27983828.240000002</v>
      </c>
      <c r="F137" s="143">
        <f>(+D137-E137)/E137</f>
        <v>4.0272986252434133E-2</v>
      </c>
      <c r="G137" s="267">
        <f>D137/C137</f>
        <v>0.20681233097866619</v>
      </c>
      <c r="H137" s="123"/>
    </row>
    <row r="138" spans="1:8" ht="15.75" customHeight="1" thickTop="1" x14ac:dyDescent="0.25">
      <c r="A138" s="138"/>
      <c r="B138" s="139"/>
      <c r="C138" s="205"/>
      <c r="D138" s="205"/>
      <c r="E138" s="205"/>
      <c r="F138" s="140"/>
      <c r="G138" s="219"/>
      <c r="H138" s="123"/>
    </row>
    <row r="139" spans="1:8" ht="15.75" x14ac:dyDescent="0.25">
      <c r="A139" s="130" t="s">
        <v>54</v>
      </c>
      <c r="B139" s="131">
        <f>DATE(2022,7,1)</f>
        <v>44743</v>
      </c>
      <c r="C139" s="204">
        <v>138495</v>
      </c>
      <c r="D139" s="204">
        <v>33672.5</v>
      </c>
      <c r="E139" s="204">
        <v>95940.5</v>
      </c>
      <c r="F139" s="132">
        <f t="shared" ref="F139:F148" si="20">(+D139-E139)/E139</f>
        <v>-0.64902726168823388</v>
      </c>
      <c r="G139" s="215">
        <f t="shared" ref="G139:G148" si="21">D139/C139</f>
        <v>0.24313152099353769</v>
      </c>
      <c r="H139" s="123"/>
    </row>
    <row r="140" spans="1:8" ht="15.75" x14ac:dyDescent="0.25">
      <c r="A140" s="130"/>
      <c r="B140" s="131">
        <f>DATE(2022,8,1)</f>
        <v>44774</v>
      </c>
      <c r="C140" s="204">
        <v>107572</v>
      </c>
      <c r="D140" s="204">
        <v>43554</v>
      </c>
      <c r="E140" s="204">
        <v>109429</v>
      </c>
      <c r="F140" s="132">
        <f t="shared" si="20"/>
        <v>-0.60198850396147274</v>
      </c>
      <c r="G140" s="215">
        <f t="shared" si="21"/>
        <v>0.40488231138214403</v>
      </c>
      <c r="H140" s="123"/>
    </row>
    <row r="141" spans="1:8" ht="15.75" x14ac:dyDescent="0.25">
      <c r="A141" s="130"/>
      <c r="B141" s="131">
        <f>DATE(2022,9,1)</f>
        <v>44805</v>
      </c>
      <c r="C141" s="204">
        <v>96319</v>
      </c>
      <c r="D141" s="204">
        <v>21940.5</v>
      </c>
      <c r="E141" s="204">
        <v>101758.5</v>
      </c>
      <c r="F141" s="132">
        <f t="shared" si="20"/>
        <v>-0.78438656230192072</v>
      </c>
      <c r="G141" s="215">
        <f t="shared" si="21"/>
        <v>0.22778994798534039</v>
      </c>
      <c r="H141" s="123"/>
    </row>
    <row r="142" spans="1:8" ht="15.75" x14ac:dyDescent="0.25">
      <c r="A142" s="130"/>
      <c r="B142" s="131">
        <f>DATE(2022,10,1)</f>
        <v>44835</v>
      </c>
      <c r="C142" s="204">
        <v>100492</v>
      </c>
      <c r="D142" s="204">
        <v>23452.5</v>
      </c>
      <c r="E142" s="204">
        <v>79721.5</v>
      </c>
      <c r="F142" s="132">
        <f t="shared" si="20"/>
        <v>-0.7058196346029616</v>
      </c>
      <c r="G142" s="215">
        <f t="shared" si="21"/>
        <v>0.23337678621183774</v>
      </c>
      <c r="H142" s="123"/>
    </row>
    <row r="143" spans="1:8" ht="15.75" x14ac:dyDescent="0.25">
      <c r="A143" s="130"/>
      <c r="B143" s="131">
        <f>DATE(2022,11,1)</f>
        <v>44866</v>
      </c>
      <c r="C143" s="204">
        <v>84332</v>
      </c>
      <c r="D143" s="204">
        <v>27986</v>
      </c>
      <c r="E143" s="204">
        <v>65199</v>
      </c>
      <c r="F143" s="132">
        <f t="shared" si="20"/>
        <v>-0.5707602877344744</v>
      </c>
      <c r="G143" s="215">
        <f t="shared" si="21"/>
        <v>0.33185504909168523</v>
      </c>
      <c r="H143" s="123"/>
    </row>
    <row r="144" spans="1:8" ht="15.75" x14ac:dyDescent="0.25">
      <c r="A144" s="130"/>
      <c r="B144" s="131">
        <f>DATE(2022,12,1)</f>
        <v>44896</v>
      </c>
      <c r="C144" s="204">
        <v>96692</v>
      </c>
      <c r="D144" s="204">
        <v>31936</v>
      </c>
      <c r="E144" s="204">
        <v>91444</v>
      </c>
      <c r="F144" s="132">
        <f t="shared" si="20"/>
        <v>-0.65075893442981492</v>
      </c>
      <c r="G144" s="215">
        <f t="shared" si="21"/>
        <v>0.33028585612046496</v>
      </c>
      <c r="H144" s="123"/>
    </row>
    <row r="145" spans="1:8" ht="15.75" x14ac:dyDescent="0.25">
      <c r="A145" s="130"/>
      <c r="B145" s="131">
        <f>DATE(2023,1,1)</f>
        <v>44927</v>
      </c>
      <c r="C145" s="204">
        <v>84454</v>
      </c>
      <c r="D145" s="204">
        <v>19398.5</v>
      </c>
      <c r="E145" s="204">
        <v>130796.5</v>
      </c>
      <c r="F145" s="132">
        <f t="shared" si="20"/>
        <v>-0.85168945652215466</v>
      </c>
      <c r="G145" s="215">
        <f t="shared" si="21"/>
        <v>0.22969308736116703</v>
      </c>
      <c r="H145" s="123"/>
    </row>
    <row r="146" spans="1:8" ht="15.75" x14ac:dyDescent="0.25">
      <c r="A146" s="130"/>
      <c r="B146" s="131">
        <f>DATE(2023,2,1)</f>
        <v>44958</v>
      </c>
      <c r="C146" s="204">
        <v>148656</v>
      </c>
      <c r="D146" s="204">
        <v>38642.5</v>
      </c>
      <c r="E146" s="204">
        <v>64197.5</v>
      </c>
      <c r="F146" s="132">
        <f t="shared" si="20"/>
        <v>-0.39806846060983681</v>
      </c>
      <c r="G146" s="215">
        <f t="shared" si="21"/>
        <v>0.25994578086320097</v>
      </c>
      <c r="H146" s="123"/>
    </row>
    <row r="147" spans="1:8" ht="15.75" x14ac:dyDescent="0.25">
      <c r="A147" s="130"/>
      <c r="B147" s="131">
        <f>DATE(2023,3,1)</f>
        <v>44986</v>
      </c>
      <c r="C147" s="204">
        <v>138788</v>
      </c>
      <c r="D147" s="204">
        <v>57536.5</v>
      </c>
      <c r="E147" s="204">
        <v>83632.5</v>
      </c>
      <c r="F147" s="132">
        <f t="shared" si="20"/>
        <v>-0.31203180581711654</v>
      </c>
      <c r="G147" s="215">
        <f t="shared" si="21"/>
        <v>0.41456393924546792</v>
      </c>
      <c r="H147" s="123"/>
    </row>
    <row r="148" spans="1:8" ht="15.75" x14ac:dyDescent="0.25">
      <c r="A148" s="130"/>
      <c r="B148" s="131">
        <f>DATE(2023,4,1)</f>
        <v>45017</v>
      </c>
      <c r="C148" s="204">
        <v>142343</v>
      </c>
      <c r="D148" s="204">
        <v>40604.5</v>
      </c>
      <c r="E148" s="204">
        <v>46651.5</v>
      </c>
      <c r="F148" s="132">
        <f t="shared" si="20"/>
        <v>-0.12962069815547195</v>
      </c>
      <c r="G148" s="215">
        <f t="shared" si="21"/>
        <v>0.28525814406047362</v>
      </c>
      <c r="H148" s="123"/>
    </row>
    <row r="149" spans="1:8" ht="15.75" thickBot="1" x14ac:dyDescent="0.25">
      <c r="A149" s="133"/>
      <c r="B149" s="134"/>
      <c r="C149" s="204"/>
      <c r="D149" s="204"/>
      <c r="E149" s="204"/>
      <c r="F149" s="132"/>
      <c r="G149" s="215"/>
      <c r="H149" s="123"/>
    </row>
    <row r="150" spans="1:8" ht="17.25" thickTop="1" thickBot="1" x14ac:dyDescent="0.3">
      <c r="A150" s="144" t="s">
        <v>14</v>
      </c>
      <c r="B150" s="145"/>
      <c r="C150" s="207">
        <f>SUM(C139:C149)</f>
        <v>1138143</v>
      </c>
      <c r="D150" s="207">
        <f>SUM(D139:D149)</f>
        <v>338723.5</v>
      </c>
      <c r="E150" s="207">
        <f>SUM(E139:E149)</f>
        <v>868770.5</v>
      </c>
      <c r="F150" s="143">
        <f>(+D150-E150)/E150</f>
        <v>-0.61011164628633219</v>
      </c>
      <c r="G150" s="217">
        <f>D150/C150</f>
        <v>0.29761066930956831</v>
      </c>
      <c r="H150" s="123"/>
    </row>
    <row r="151" spans="1:8" ht="15.75" customHeight="1" thickTop="1" x14ac:dyDescent="0.25">
      <c r="A151" s="130"/>
      <c r="B151" s="134"/>
      <c r="C151" s="204"/>
      <c r="D151" s="204"/>
      <c r="E151" s="204"/>
      <c r="F151" s="132"/>
      <c r="G151" s="218"/>
      <c r="H151" s="123"/>
    </row>
    <row r="152" spans="1:8" ht="15.75" x14ac:dyDescent="0.25">
      <c r="A152" s="130" t="s">
        <v>37</v>
      </c>
      <c r="B152" s="131">
        <f>DATE(2022,7,1)</f>
        <v>44743</v>
      </c>
      <c r="C152" s="204">
        <v>23474853</v>
      </c>
      <c r="D152" s="204">
        <v>4747644.93</v>
      </c>
      <c r="E152" s="204">
        <v>4828759.4400000004</v>
      </c>
      <c r="F152" s="132">
        <f t="shared" ref="F152:F161" si="22">(+D152-E152)/E152</f>
        <v>-1.679820894121839E-2</v>
      </c>
      <c r="G152" s="215">
        <f t="shared" ref="G152:G161" si="23">D152/C152</f>
        <v>0.20224386197434335</v>
      </c>
      <c r="H152" s="123"/>
    </row>
    <row r="153" spans="1:8" ht="15.75" x14ac:dyDescent="0.25">
      <c r="A153" s="130"/>
      <c r="B153" s="131">
        <f>DATE(2022,8,1)</f>
        <v>44774</v>
      </c>
      <c r="C153" s="204">
        <v>21618581</v>
      </c>
      <c r="D153" s="204">
        <v>5944421.2300000004</v>
      </c>
      <c r="E153" s="204">
        <v>4617763.22</v>
      </c>
      <c r="F153" s="132">
        <f t="shared" si="22"/>
        <v>0.28729450749101004</v>
      </c>
      <c r="G153" s="215">
        <f t="shared" si="23"/>
        <v>0.27496815031476862</v>
      </c>
      <c r="H153" s="123"/>
    </row>
    <row r="154" spans="1:8" ht="15.75" x14ac:dyDescent="0.25">
      <c r="A154" s="130"/>
      <c r="B154" s="131">
        <f>DATE(2022,9,1)</f>
        <v>44805</v>
      </c>
      <c r="C154" s="204">
        <v>22214362</v>
      </c>
      <c r="D154" s="204">
        <v>4482002.3499999996</v>
      </c>
      <c r="E154" s="204">
        <v>4146063.59</v>
      </c>
      <c r="F154" s="132">
        <f t="shared" si="22"/>
        <v>8.102595454885432E-2</v>
      </c>
      <c r="G154" s="215">
        <f t="shared" si="23"/>
        <v>0.20176147079983658</v>
      </c>
      <c r="H154" s="123"/>
    </row>
    <row r="155" spans="1:8" ht="15.75" x14ac:dyDescent="0.25">
      <c r="A155" s="130"/>
      <c r="B155" s="131">
        <f>DATE(2022,10,1)</f>
        <v>44835</v>
      </c>
      <c r="C155" s="204">
        <v>22521885</v>
      </c>
      <c r="D155" s="204">
        <v>4856222.42</v>
      </c>
      <c r="E155" s="204">
        <v>5459139.5700000003</v>
      </c>
      <c r="F155" s="132">
        <f t="shared" si="22"/>
        <v>-0.11044179073809618</v>
      </c>
      <c r="G155" s="215">
        <f t="shared" si="23"/>
        <v>0.21562237885505586</v>
      </c>
      <c r="H155" s="123"/>
    </row>
    <row r="156" spans="1:8" ht="15.75" x14ac:dyDescent="0.25">
      <c r="A156" s="130"/>
      <c r="B156" s="131">
        <f>DATE(2022,11,1)</f>
        <v>44866</v>
      </c>
      <c r="C156" s="204">
        <v>19717008</v>
      </c>
      <c r="D156" s="204">
        <v>4475648.3499999996</v>
      </c>
      <c r="E156" s="204">
        <v>4253233.6500000004</v>
      </c>
      <c r="F156" s="132">
        <f t="shared" si="22"/>
        <v>5.229308293467471E-2</v>
      </c>
      <c r="G156" s="215">
        <f t="shared" si="23"/>
        <v>0.22699429599054785</v>
      </c>
      <c r="H156" s="123"/>
    </row>
    <row r="157" spans="1:8" ht="15.75" x14ac:dyDescent="0.25">
      <c r="A157" s="130"/>
      <c r="B157" s="131">
        <f>DATE(2022,12,1)</f>
        <v>44896</v>
      </c>
      <c r="C157" s="204">
        <v>20731313</v>
      </c>
      <c r="D157" s="204">
        <v>4385866.74</v>
      </c>
      <c r="E157" s="204">
        <v>5369859.7400000002</v>
      </c>
      <c r="F157" s="132">
        <f t="shared" si="22"/>
        <v>-0.18324370610097163</v>
      </c>
      <c r="G157" s="215">
        <f t="shared" si="23"/>
        <v>0.21155759599018162</v>
      </c>
      <c r="H157" s="123"/>
    </row>
    <row r="158" spans="1:8" ht="15.75" x14ac:dyDescent="0.25">
      <c r="A158" s="130"/>
      <c r="B158" s="131">
        <f>DATE(2023,1,1)</f>
        <v>44927</v>
      </c>
      <c r="C158" s="204">
        <v>21378482</v>
      </c>
      <c r="D158" s="204">
        <v>4079109.4</v>
      </c>
      <c r="E158" s="204">
        <v>5388467.7599999998</v>
      </c>
      <c r="F158" s="132">
        <f t="shared" si="22"/>
        <v>-0.24299270559243355</v>
      </c>
      <c r="G158" s="215">
        <f t="shared" si="23"/>
        <v>0.19080444532965438</v>
      </c>
      <c r="H158" s="123"/>
    </row>
    <row r="159" spans="1:8" ht="15.75" x14ac:dyDescent="0.25">
      <c r="A159" s="130"/>
      <c r="B159" s="131">
        <f>DATE(2023,2,1)</f>
        <v>44958</v>
      </c>
      <c r="C159" s="204">
        <v>22040003</v>
      </c>
      <c r="D159" s="204">
        <v>5567189.9299999997</v>
      </c>
      <c r="E159" s="204">
        <v>4784961.13</v>
      </c>
      <c r="F159" s="132">
        <f t="shared" si="22"/>
        <v>0.16347652128158455</v>
      </c>
      <c r="G159" s="215">
        <f t="shared" si="23"/>
        <v>0.25259479002793239</v>
      </c>
      <c r="H159" s="123"/>
    </row>
    <row r="160" spans="1:8" ht="15.75" x14ac:dyDescent="0.25">
      <c r="A160" s="130"/>
      <c r="B160" s="131">
        <f>DATE(2023,3,1)</f>
        <v>44986</v>
      </c>
      <c r="C160" s="204">
        <v>23383513.5</v>
      </c>
      <c r="D160" s="204">
        <v>4791404.6399999997</v>
      </c>
      <c r="E160" s="204">
        <v>4993811.12</v>
      </c>
      <c r="F160" s="132">
        <f t="shared" si="22"/>
        <v>-4.0531464874466544E-2</v>
      </c>
      <c r="G160" s="215">
        <f t="shared" si="23"/>
        <v>0.20490524830667553</v>
      </c>
      <c r="H160" s="123"/>
    </row>
    <row r="161" spans="1:8" ht="15.75" x14ac:dyDescent="0.25">
      <c r="A161" s="130"/>
      <c r="B161" s="131">
        <f>DATE(2023,4,1)</f>
        <v>45017</v>
      </c>
      <c r="C161" s="204">
        <v>21542662</v>
      </c>
      <c r="D161" s="204">
        <v>4936530.01</v>
      </c>
      <c r="E161" s="204">
        <v>5496853.5899999999</v>
      </c>
      <c r="F161" s="132">
        <f t="shared" si="22"/>
        <v>-0.10193532915254526</v>
      </c>
      <c r="G161" s="215">
        <f t="shared" si="23"/>
        <v>0.22915134675556809</v>
      </c>
      <c r="H161" s="123"/>
    </row>
    <row r="162" spans="1:8" ht="15.75" thickBot="1" x14ac:dyDescent="0.25">
      <c r="A162" s="133"/>
      <c r="B162" s="134"/>
      <c r="C162" s="204"/>
      <c r="D162" s="204"/>
      <c r="E162" s="204"/>
      <c r="F162" s="132"/>
      <c r="G162" s="215"/>
      <c r="H162" s="123"/>
    </row>
    <row r="163" spans="1:8" ht="17.25" thickTop="1" thickBot="1" x14ac:dyDescent="0.3">
      <c r="A163" s="141" t="s">
        <v>14</v>
      </c>
      <c r="B163" s="142"/>
      <c r="C163" s="206">
        <f>SUM(C152:C162)</f>
        <v>218622662.5</v>
      </c>
      <c r="D163" s="207">
        <f>SUM(D152:D162)</f>
        <v>48266040</v>
      </c>
      <c r="E163" s="206">
        <f>SUM(E152:E162)</f>
        <v>49338912.810000002</v>
      </c>
      <c r="F163" s="143">
        <f>(+D163-E163)/E163</f>
        <v>-2.1744962523425379E-2</v>
      </c>
      <c r="G163" s="217">
        <f>D163/C163</f>
        <v>0.2207732695598289</v>
      </c>
      <c r="H163" s="123"/>
    </row>
    <row r="164" spans="1:8" ht="15.75" customHeight="1" thickTop="1" x14ac:dyDescent="0.25">
      <c r="A164" s="130"/>
      <c r="B164" s="134"/>
      <c r="C164" s="204"/>
      <c r="D164" s="204"/>
      <c r="E164" s="204"/>
      <c r="F164" s="132"/>
      <c r="G164" s="218"/>
      <c r="H164" s="123"/>
    </row>
    <row r="165" spans="1:8" ht="15.75" x14ac:dyDescent="0.25">
      <c r="A165" s="130" t="s">
        <v>57</v>
      </c>
      <c r="B165" s="131">
        <f>DATE(2022,7,1)</f>
        <v>44743</v>
      </c>
      <c r="C165" s="204">
        <v>726679</v>
      </c>
      <c r="D165" s="204">
        <v>196833</v>
      </c>
      <c r="E165" s="204">
        <v>127439.5</v>
      </c>
      <c r="F165" s="132">
        <f t="shared" ref="F165:F174" si="24">(+D165-E165)/E165</f>
        <v>0.54452112571063127</v>
      </c>
      <c r="G165" s="215">
        <f t="shared" ref="G165:G174" si="25">D165/C165</f>
        <v>0.27086650364191067</v>
      </c>
      <c r="H165" s="123"/>
    </row>
    <row r="166" spans="1:8" ht="15.75" x14ac:dyDescent="0.25">
      <c r="A166" s="130"/>
      <c r="B166" s="131">
        <f>DATE(2022,8,1)</f>
        <v>44774</v>
      </c>
      <c r="C166" s="204">
        <v>607303</v>
      </c>
      <c r="D166" s="204">
        <v>151280.5</v>
      </c>
      <c r="E166" s="204">
        <v>132624</v>
      </c>
      <c r="F166" s="132">
        <f t="shared" si="24"/>
        <v>0.14067212570877066</v>
      </c>
      <c r="G166" s="215">
        <f t="shared" si="25"/>
        <v>0.24910217799022893</v>
      </c>
      <c r="H166" s="123"/>
    </row>
    <row r="167" spans="1:8" ht="15.75" x14ac:dyDescent="0.25">
      <c r="A167" s="130"/>
      <c r="B167" s="131">
        <f>DATE(2022,9,1)</f>
        <v>44805</v>
      </c>
      <c r="C167" s="204">
        <v>597896</v>
      </c>
      <c r="D167" s="204">
        <v>193974</v>
      </c>
      <c r="E167" s="204">
        <v>116203.5</v>
      </c>
      <c r="F167" s="132">
        <f t="shared" si="24"/>
        <v>0.66926125288825211</v>
      </c>
      <c r="G167" s="215">
        <f t="shared" si="25"/>
        <v>0.32442765965987397</v>
      </c>
      <c r="H167" s="123"/>
    </row>
    <row r="168" spans="1:8" ht="15.75" x14ac:dyDescent="0.25">
      <c r="A168" s="130"/>
      <c r="B168" s="131">
        <f>DATE(2022,10,1)</f>
        <v>44835</v>
      </c>
      <c r="C168" s="204">
        <v>616111</v>
      </c>
      <c r="D168" s="204">
        <v>196489.5</v>
      </c>
      <c r="E168" s="204">
        <v>167500.5</v>
      </c>
      <c r="F168" s="132">
        <f t="shared" si="24"/>
        <v>0.17306814009510418</v>
      </c>
      <c r="G168" s="215">
        <f t="shared" si="25"/>
        <v>0.31891899349305564</v>
      </c>
      <c r="H168" s="123"/>
    </row>
    <row r="169" spans="1:8" ht="15.75" x14ac:dyDescent="0.25">
      <c r="A169" s="130"/>
      <c r="B169" s="131">
        <f>DATE(2022,11,1)</f>
        <v>44866</v>
      </c>
      <c r="C169" s="204">
        <v>588129</v>
      </c>
      <c r="D169" s="204">
        <v>205853.5</v>
      </c>
      <c r="E169" s="204">
        <v>144385.5</v>
      </c>
      <c r="F169" s="132">
        <f t="shared" si="24"/>
        <v>0.42572141939460678</v>
      </c>
      <c r="G169" s="215">
        <f t="shared" si="25"/>
        <v>0.35001419756550006</v>
      </c>
      <c r="H169" s="123"/>
    </row>
    <row r="170" spans="1:8" ht="15.75" x14ac:dyDescent="0.25">
      <c r="A170" s="130"/>
      <c r="B170" s="131">
        <f>DATE(2022,12,1)</f>
        <v>44896</v>
      </c>
      <c r="C170" s="204">
        <v>601617</v>
      </c>
      <c r="D170" s="204">
        <v>179648</v>
      </c>
      <c r="E170" s="204">
        <v>189046.5</v>
      </c>
      <c r="F170" s="132">
        <f t="shared" si="24"/>
        <v>-4.9715281689954587E-2</v>
      </c>
      <c r="G170" s="215">
        <f t="shared" si="25"/>
        <v>0.29860858320160499</v>
      </c>
      <c r="H170" s="123"/>
    </row>
    <row r="171" spans="1:8" ht="15.75" x14ac:dyDescent="0.25">
      <c r="A171" s="130"/>
      <c r="B171" s="131">
        <f>DATE(2023,1,1)</f>
        <v>44927</v>
      </c>
      <c r="C171" s="204">
        <v>562727</v>
      </c>
      <c r="D171" s="204">
        <v>120250</v>
      </c>
      <c r="E171" s="204">
        <v>129604</v>
      </c>
      <c r="F171" s="132">
        <f t="shared" si="24"/>
        <v>-7.2173698342643741E-2</v>
      </c>
      <c r="G171" s="215">
        <f t="shared" si="25"/>
        <v>0.21369154136908305</v>
      </c>
      <c r="H171" s="123"/>
    </row>
    <row r="172" spans="1:8" ht="15.75" x14ac:dyDescent="0.25">
      <c r="A172" s="130"/>
      <c r="B172" s="131">
        <f>DATE(2023,2,1)</f>
        <v>44958</v>
      </c>
      <c r="C172" s="204">
        <v>577741</v>
      </c>
      <c r="D172" s="204">
        <v>189664</v>
      </c>
      <c r="E172" s="204">
        <v>141185</v>
      </c>
      <c r="F172" s="132">
        <f t="shared" si="24"/>
        <v>0.34337217126465275</v>
      </c>
      <c r="G172" s="215">
        <f t="shared" si="25"/>
        <v>0.32828551202009204</v>
      </c>
      <c r="H172" s="123"/>
    </row>
    <row r="173" spans="1:8" ht="15.75" x14ac:dyDescent="0.25">
      <c r="A173" s="130"/>
      <c r="B173" s="131">
        <f>DATE(2023,3,1)</f>
        <v>44986</v>
      </c>
      <c r="C173" s="204">
        <v>693599</v>
      </c>
      <c r="D173" s="204">
        <v>187974</v>
      </c>
      <c r="E173" s="204">
        <v>258133.5</v>
      </c>
      <c r="F173" s="132">
        <f t="shared" si="24"/>
        <v>-0.27179540818994824</v>
      </c>
      <c r="G173" s="215">
        <f t="shared" si="25"/>
        <v>0.27101250145977718</v>
      </c>
      <c r="H173" s="123"/>
    </row>
    <row r="174" spans="1:8" ht="15.75" x14ac:dyDescent="0.25">
      <c r="A174" s="130"/>
      <c r="B174" s="131">
        <f>DATE(2023,4,1)</f>
        <v>45017</v>
      </c>
      <c r="C174" s="204">
        <v>733569</v>
      </c>
      <c r="D174" s="204">
        <v>218310</v>
      </c>
      <c r="E174" s="204">
        <v>197147</v>
      </c>
      <c r="F174" s="132">
        <f t="shared" si="24"/>
        <v>0.10734629489670144</v>
      </c>
      <c r="G174" s="215">
        <f t="shared" si="25"/>
        <v>0.29759981678615099</v>
      </c>
      <c r="H174" s="123"/>
    </row>
    <row r="175" spans="1:8" ht="15.75" thickBot="1" x14ac:dyDescent="0.25">
      <c r="A175" s="133"/>
      <c r="B175" s="134"/>
      <c r="C175" s="204"/>
      <c r="D175" s="204"/>
      <c r="E175" s="204"/>
      <c r="F175" s="132"/>
      <c r="G175" s="215"/>
      <c r="H175" s="123"/>
    </row>
    <row r="176" spans="1:8" ht="17.25" thickTop="1" thickBot="1" x14ac:dyDescent="0.3">
      <c r="A176" s="135" t="s">
        <v>14</v>
      </c>
      <c r="B176" s="136"/>
      <c r="C176" s="201">
        <f>SUM(C165:C175)</f>
        <v>6305371</v>
      </c>
      <c r="D176" s="207">
        <f>SUM(D165:D175)</f>
        <v>1840276.5</v>
      </c>
      <c r="E176" s="207">
        <f>SUM(E165:E175)</f>
        <v>1603269</v>
      </c>
      <c r="F176" s="143">
        <f>(+D176-E176)/E176</f>
        <v>0.14782765711805068</v>
      </c>
      <c r="G176" s="217">
        <f>D176/C176</f>
        <v>0.29185855994833609</v>
      </c>
      <c r="H176" s="123"/>
    </row>
    <row r="177" spans="1:8" ht="16.5" thickTop="1" thickBot="1" x14ac:dyDescent="0.25">
      <c r="A177" s="146"/>
      <c r="B177" s="139"/>
      <c r="C177" s="205"/>
      <c r="D177" s="205"/>
      <c r="E177" s="205"/>
      <c r="F177" s="140"/>
      <c r="G177" s="216"/>
      <c r="H177" s="123"/>
    </row>
    <row r="178" spans="1:8" ht="17.25" thickTop="1" thickBot="1" x14ac:dyDescent="0.3">
      <c r="A178" s="147" t="s">
        <v>38</v>
      </c>
      <c r="B178" s="121"/>
      <c r="C178" s="201">
        <f>C176+C163+C124+C98+C72+C46+C20+C59+C150+C33+C111+C137+C85</f>
        <v>1064988000.84</v>
      </c>
      <c r="D178" s="201">
        <f>D176+D163+D124+D98+D72+D46+D20+D59+D150+D33+D111+D137+D85</f>
        <v>228755990.56999999</v>
      </c>
      <c r="E178" s="201">
        <f>E176+E163+E124+E98+E72+E46+E20+E59+E150+E33+E111+E137+E85</f>
        <v>221814160.92000002</v>
      </c>
      <c r="F178" s="137">
        <f>(+D178-E178)/E178</f>
        <v>3.1295700965204072E-2</v>
      </c>
      <c r="G178" s="212">
        <f>D178/C178</f>
        <v>0.21479677741868519</v>
      </c>
      <c r="H178" s="123"/>
    </row>
    <row r="179" spans="1:8" ht="17.25" thickTop="1" thickBot="1" x14ac:dyDescent="0.3">
      <c r="A179" s="147"/>
      <c r="B179" s="121"/>
      <c r="C179" s="201"/>
      <c r="D179" s="201"/>
      <c r="E179" s="201"/>
      <c r="F179" s="137"/>
      <c r="G179" s="212"/>
      <c r="H179" s="123"/>
    </row>
    <row r="180" spans="1:8" ht="17.25" thickTop="1" thickBot="1" x14ac:dyDescent="0.3">
      <c r="A180" s="265" t="s">
        <v>39</v>
      </c>
      <c r="B180" s="266"/>
      <c r="C180" s="206">
        <f>+C18+C31+C44+C57+C70+C83+C96+C109+C122+C135+C148+C161+C174</f>
        <v>109406920</v>
      </c>
      <c r="D180" s="206">
        <f>+D18+D31+D44+D57+D70+D83+D96+D109+D122+D135+D148+D161+D174</f>
        <v>23872542.93</v>
      </c>
      <c r="E180" s="206">
        <f>+E18+E31+E44+E57+E70+E83+E96+E109+E122+E135+E148+E161+E174</f>
        <v>24142001.98</v>
      </c>
      <c r="F180" s="268">
        <f>(+D180-E180)/E180</f>
        <v>-1.1161421087746955E-2</v>
      </c>
      <c r="G180" s="217">
        <f>D180/C180</f>
        <v>0.21819957028312287</v>
      </c>
      <c r="H180" s="123"/>
    </row>
    <row r="181" spans="1:8" ht="16.5" thickTop="1" x14ac:dyDescent="0.25">
      <c r="A181" s="256"/>
      <c r="B181" s="258"/>
      <c r="C181" s="259"/>
      <c r="D181" s="259"/>
      <c r="E181" s="259"/>
      <c r="F181" s="260"/>
      <c r="G181" s="257"/>
      <c r="H181" s="257"/>
    </row>
    <row r="182" spans="1:8" ht="18.75" x14ac:dyDescent="0.3">
      <c r="A182" s="263" t="s">
        <v>40</v>
      </c>
      <c r="B182" s="117"/>
      <c r="C182" s="208"/>
      <c r="D182" s="208"/>
      <c r="E182" s="208"/>
      <c r="F182" s="148"/>
      <c r="G182" s="220"/>
    </row>
    <row r="183" spans="1:8" ht="15.75" x14ac:dyDescent="0.25">
      <c r="A183" s="72"/>
    </row>
  </sheetData>
  <phoneticPr fontId="0" type="noConversion"/>
  <printOptions horizontalCentered="1"/>
  <pageMargins left="0.45" right="0.25" top="0.31944444444444398" bottom="0.2" header="0.5" footer="0.5"/>
  <pageSetup scale="62" orientation="landscape" r:id="rId1"/>
  <headerFooter alignWithMargins="0"/>
  <rowBreaks count="3" manualBreakCount="3">
    <brk id="59" max="7" man="1"/>
    <brk id="111" max="7" man="1"/>
    <brk id="163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4"/>
  <sheetViews>
    <sheetView zoomScaleNormal="100" workbookViewId="0">
      <selection activeCell="A6" sqref="A6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9" t="s">
        <v>0</v>
      </c>
      <c r="B1" s="150"/>
      <c r="C1" s="222"/>
      <c r="D1" s="222"/>
      <c r="E1" s="222"/>
      <c r="F1" s="150"/>
      <c r="G1" s="234"/>
      <c r="H1" s="234"/>
    </row>
    <row r="2" spans="1:8" ht="18.75" x14ac:dyDescent="0.3">
      <c r="A2" s="153" t="s">
        <v>59</v>
      </c>
      <c r="B2" s="150"/>
      <c r="C2" s="222"/>
      <c r="D2" s="222"/>
      <c r="E2" s="222"/>
      <c r="F2" s="150"/>
      <c r="G2" s="234"/>
      <c r="H2" s="234"/>
    </row>
    <row r="3" spans="1:8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</row>
    <row r="4" spans="1:8" ht="18" x14ac:dyDescent="0.25">
      <c r="A4" s="285" t="s">
        <v>77</v>
      </c>
      <c r="B4" s="150"/>
      <c r="C4" s="222"/>
      <c r="D4" s="222"/>
      <c r="E4" s="222"/>
      <c r="F4" s="150"/>
      <c r="G4" s="234"/>
      <c r="H4" s="234"/>
    </row>
    <row r="5" spans="1:8" x14ac:dyDescent="0.2">
      <c r="A5" s="286" t="s">
        <v>73</v>
      </c>
      <c r="B5" s="150"/>
      <c r="C5" s="222"/>
      <c r="D5" s="222"/>
      <c r="E5" s="222"/>
      <c r="F5" s="150"/>
      <c r="G5" s="234"/>
      <c r="H5" s="234"/>
    </row>
    <row r="6" spans="1:8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</row>
    <row r="7" spans="1:8" ht="16.5" thickTop="1" x14ac:dyDescent="0.25">
      <c r="A7" s="154"/>
      <c r="B7" s="155" t="s">
        <v>2</v>
      </c>
      <c r="C7" s="223" t="s">
        <v>65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</row>
    <row r="8" spans="1:8" ht="16.5" thickBot="1" x14ac:dyDescent="0.3">
      <c r="A8" s="158" t="s">
        <v>5</v>
      </c>
      <c r="B8" s="159" t="s">
        <v>6</v>
      </c>
      <c r="C8" s="224" t="s">
        <v>45</v>
      </c>
      <c r="D8" s="224" t="s">
        <v>66</v>
      </c>
      <c r="E8" s="224" t="s">
        <v>66</v>
      </c>
      <c r="F8" s="160" t="s">
        <v>8</v>
      </c>
      <c r="G8" s="238" t="s">
        <v>35</v>
      </c>
      <c r="H8" s="254" t="s">
        <v>47</v>
      </c>
    </row>
    <row r="9" spans="1:8" ht="16.5" thickTop="1" x14ac:dyDescent="0.25">
      <c r="A9" s="161"/>
      <c r="B9" s="162"/>
      <c r="C9" s="225"/>
      <c r="D9" s="225"/>
      <c r="E9" s="225"/>
      <c r="F9" s="163"/>
      <c r="G9" s="239"/>
      <c r="H9" s="240"/>
    </row>
    <row r="10" spans="1:8" ht="15.75" x14ac:dyDescent="0.25">
      <c r="A10" s="164" t="s">
        <v>36</v>
      </c>
      <c r="B10" s="165">
        <f>DATE(22,7,1)</f>
        <v>8218</v>
      </c>
      <c r="C10" s="226">
        <v>2413177.5299999998</v>
      </c>
      <c r="D10" s="226">
        <v>120141.72</v>
      </c>
      <c r="E10" s="226">
        <v>0</v>
      </c>
      <c r="F10" s="166">
        <v>1</v>
      </c>
      <c r="G10" s="241">
        <f>+D10/C10</f>
        <v>4.9785694797183033E-2</v>
      </c>
      <c r="H10" s="289">
        <f>1-G10</f>
        <v>0.95021430520281691</v>
      </c>
    </row>
    <row r="11" spans="1:8" ht="15.75" x14ac:dyDescent="0.25">
      <c r="A11" s="164"/>
      <c r="B11" s="165">
        <f>DATE(22,8,1)</f>
        <v>8249</v>
      </c>
      <c r="C11" s="226">
        <v>2066898.51</v>
      </c>
      <c r="D11" s="226">
        <v>119034.53</v>
      </c>
      <c r="E11" s="226">
        <v>0</v>
      </c>
      <c r="F11" s="166">
        <v>1</v>
      </c>
      <c r="G11" s="241">
        <f>+D11/C11</f>
        <v>5.7590892549436307E-2</v>
      </c>
      <c r="H11" s="289">
        <f>1-G11</f>
        <v>0.94240910745056372</v>
      </c>
    </row>
    <row r="12" spans="1:8" ht="15.75" x14ac:dyDescent="0.25">
      <c r="A12" s="164"/>
      <c r="B12" s="165">
        <f>DATE(22,9,1)</f>
        <v>8280</v>
      </c>
      <c r="C12" s="226">
        <v>1851491.04</v>
      </c>
      <c r="D12" s="226">
        <v>77282.02</v>
      </c>
      <c r="E12" s="226">
        <v>0</v>
      </c>
      <c r="F12" s="166">
        <v>1</v>
      </c>
      <c r="G12" s="241">
        <f>+D12/C12</f>
        <v>4.1740423437317854E-2</v>
      </c>
      <c r="H12" s="289">
        <f>1-G12</f>
        <v>0.95825957656268212</v>
      </c>
    </row>
    <row r="13" spans="1:8" ht="15.75" x14ac:dyDescent="0.25">
      <c r="A13" s="164"/>
      <c r="B13" s="165">
        <f>DATE(22,10,1)</f>
        <v>8310</v>
      </c>
      <c r="C13" s="226">
        <v>2056131.12</v>
      </c>
      <c r="D13" s="226">
        <v>97377.75</v>
      </c>
      <c r="E13" s="226">
        <v>0</v>
      </c>
      <c r="F13" s="166">
        <v>1</v>
      </c>
      <c r="G13" s="241">
        <f>+D13/C13</f>
        <v>4.7359698539069822E-2</v>
      </c>
      <c r="H13" s="289">
        <f>1-G13</f>
        <v>0.95264030146093015</v>
      </c>
    </row>
    <row r="14" spans="1:8" ht="15.75" x14ac:dyDescent="0.25">
      <c r="A14" s="164"/>
      <c r="B14" s="165">
        <f>DATE(22,11,1)</f>
        <v>8341</v>
      </c>
      <c r="C14" s="226">
        <v>1833034.34</v>
      </c>
      <c r="D14" s="226">
        <v>92934.27</v>
      </c>
      <c r="E14" s="226">
        <v>51101.03</v>
      </c>
      <c r="F14" s="166">
        <f>+(D14-E14)/E14</f>
        <v>0.81863790221058175</v>
      </c>
      <c r="G14" s="241">
        <f>+D14/C14</f>
        <v>5.0699688473921332E-2</v>
      </c>
      <c r="H14" s="289">
        <f>1-G14</f>
        <v>0.94930031152607863</v>
      </c>
    </row>
    <row r="15" spans="1:8" ht="15.75" x14ac:dyDescent="0.25">
      <c r="A15" s="164"/>
      <c r="B15" s="165">
        <f>DATE(22,12,1)</f>
        <v>8371</v>
      </c>
      <c r="C15" s="226">
        <v>0</v>
      </c>
      <c r="D15" s="226">
        <v>0</v>
      </c>
      <c r="E15" s="226">
        <v>90195.59</v>
      </c>
      <c r="F15" s="166">
        <v>-1</v>
      </c>
      <c r="G15" s="241">
        <v>0</v>
      </c>
      <c r="H15" s="289">
        <v>0</v>
      </c>
    </row>
    <row r="16" spans="1:8" ht="15.75" x14ac:dyDescent="0.25">
      <c r="A16" s="164"/>
      <c r="B16" s="165">
        <f>DATE(23,1,1)</f>
        <v>8402</v>
      </c>
      <c r="C16" s="226">
        <v>0</v>
      </c>
      <c r="D16" s="226">
        <v>0</v>
      </c>
      <c r="E16" s="226">
        <v>119559.87</v>
      </c>
      <c r="F16" s="166">
        <v>-1</v>
      </c>
      <c r="G16" s="241">
        <v>0</v>
      </c>
      <c r="H16" s="289">
        <v>0</v>
      </c>
    </row>
    <row r="17" spans="1:8" ht="15.75" x14ac:dyDescent="0.25">
      <c r="A17" s="164"/>
      <c r="B17" s="165">
        <f>DATE(23,2,1)</f>
        <v>8433</v>
      </c>
      <c r="C17" s="226">
        <v>0</v>
      </c>
      <c r="D17" s="226">
        <v>0</v>
      </c>
      <c r="E17" s="226">
        <v>134655.35</v>
      </c>
      <c r="F17" s="166">
        <v>-1</v>
      </c>
      <c r="G17" s="241">
        <v>0</v>
      </c>
      <c r="H17" s="289">
        <v>0</v>
      </c>
    </row>
    <row r="18" spans="1:8" ht="15.75" x14ac:dyDescent="0.25">
      <c r="A18" s="164"/>
      <c r="B18" s="165">
        <f>DATE(23,3,1)</f>
        <v>8461</v>
      </c>
      <c r="C18" s="226">
        <v>0</v>
      </c>
      <c r="D18" s="226">
        <v>0</v>
      </c>
      <c r="E18" s="226">
        <v>138761.57</v>
      </c>
      <c r="F18" s="166">
        <v>-1</v>
      </c>
      <c r="G18" s="241">
        <v>0</v>
      </c>
      <c r="H18" s="289">
        <v>0</v>
      </c>
    </row>
    <row r="19" spans="1:8" ht="15.75" x14ac:dyDescent="0.25">
      <c r="A19" s="164"/>
      <c r="B19" s="165">
        <f>DATE(23,4,1)</f>
        <v>8492</v>
      </c>
      <c r="C19" s="226">
        <v>0</v>
      </c>
      <c r="D19" s="226">
        <v>0</v>
      </c>
      <c r="E19" s="226">
        <v>96442.880000000005</v>
      </c>
      <c r="F19" s="166">
        <v>-1</v>
      </c>
      <c r="G19" s="241">
        <v>0</v>
      </c>
      <c r="H19" s="289">
        <v>0</v>
      </c>
    </row>
    <row r="20" spans="1:8" ht="15.75" thickBot="1" x14ac:dyDescent="0.25">
      <c r="A20" s="167"/>
      <c r="B20" s="168"/>
      <c r="C20" s="226"/>
      <c r="D20" s="226"/>
      <c r="E20" s="226"/>
      <c r="F20" s="166"/>
      <c r="G20" s="241"/>
      <c r="H20" s="242"/>
    </row>
    <row r="21" spans="1:8" ht="17.25" thickTop="1" thickBot="1" x14ac:dyDescent="0.3">
      <c r="A21" s="169" t="s">
        <v>14</v>
      </c>
      <c r="B21" s="155"/>
      <c r="C21" s="223">
        <f>SUM(C10:C20)</f>
        <v>10220732.540000001</v>
      </c>
      <c r="D21" s="223">
        <f>SUM(D10:D20)</f>
        <v>506770.29000000004</v>
      </c>
      <c r="E21" s="223">
        <f>SUM(E10:E20)</f>
        <v>630716.28999999992</v>
      </c>
      <c r="F21" s="176">
        <f>+(D21-E21)/E21</f>
        <v>-0.19651624980226831</v>
      </c>
      <c r="G21" s="245">
        <f>+D21/C21</f>
        <v>4.9582580115143098E-2</v>
      </c>
      <c r="H21" s="246">
        <f>1-G21</f>
        <v>0.95041741988485695</v>
      </c>
    </row>
    <row r="22" spans="1:8" ht="15.75" thickTop="1" x14ac:dyDescent="0.2">
      <c r="A22" s="171"/>
      <c r="B22" s="172"/>
      <c r="C22" s="227"/>
      <c r="D22" s="227"/>
      <c r="E22" s="227"/>
      <c r="F22" s="173"/>
      <c r="G22" s="243"/>
      <c r="H22" s="244"/>
    </row>
    <row r="23" spans="1:8" ht="15.75" x14ac:dyDescent="0.25">
      <c r="A23" s="19" t="s">
        <v>48</v>
      </c>
      <c r="B23" s="165">
        <f>DATE(22,7,1)</f>
        <v>8218</v>
      </c>
      <c r="C23" s="226">
        <v>0</v>
      </c>
      <c r="D23" s="226">
        <v>0</v>
      </c>
      <c r="E23" s="226">
        <v>0</v>
      </c>
      <c r="F23" s="166">
        <v>0</v>
      </c>
      <c r="G23" s="241">
        <v>0</v>
      </c>
      <c r="H23" s="242">
        <v>0</v>
      </c>
    </row>
    <row r="24" spans="1:8" ht="15.75" x14ac:dyDescent="0.25">
      <c r="A24" s="19"/>
      <c r="B24" s="165">
        <f>DATE(22,8,1)</f>
        <v>8249</v>
      </c>
      <c r="C24" s="226">
        <v>0</v>
      </c>
      <c r="D24" s="226">
        <v>0</v>
      </c>
      <c r="E24" s="226">
        <v>0</v>
      </c>
      <c r="F24" s="166">
        <v>0</v>
      </c>
      <c r="G24" s="241">
        <v>0</v>
      </c>
      <c r="H24" s="242">
        <v>0</v>
      </c>
    </row>
    <row r="25" spans="1:8" ht="15.75" x14ac:dyDescent="0.25">
      <c r="A25" s="19"/>
      <c r="B25" s="165">
        <f>DATE(22,9,1)</f>
        <v>8280</v>
      </c>
      <c r="C25" s="226">
        <v>0</v>
      </c>
      <c r="D25" s="226">
        <v>0</v>
      </c>
      <c r="E25" s="226">
        <v>0</v>
      </c>
      <c r="F25" s="166">
        <v>0</v>
      </c>
      <c r="G25" s="241">
        <v>0</v>
      </c>
      <c r="H25" s="242">
        <v>0</v>
      </c>
    </row>
    <row r="26" spans="1:8" ht="15.75" x14ac:dyDescent="0.25">
      <c r="A26" s="19"/>
      <c r="B26" s="165">
        <f>DATE(22,10,1)</f>
        <v>8310</v>
      </c>
      <c r="C26" s="226">
        <v>0</v>
      </c>
      <c r="D26" s="226">
        <v>0</v>
      </c>
      <c r="E26" s="226">
        <v>0</v>
      </c>
      <c r="F26" s="166">
        <v>0</v>
      </c>
      <c r="G26" s="241">
        <v>0</v>
      </c>
      <c r="H26" s="242">
        <v>0</v>
      </c>
    </row>
    <row r="27" spans="1:8" ht="15.75" x14ac:dyDescent="0.25">
      <c r="A27" s="19"/>
      <c r="B27" s="165">
        <f>DATE(22,11,1)</f>
        <v>8341</v>
      </c>
      <c r="C27" s="226">
        <v>0</v>
      </c>
      <c r="D27" s="226">
        <v>0</v>
      </c>
      <c r="E27" s="226">
        <v>0</v>
      </c>
      <c r="F27" s="166">
        <v>0</v>
      </c>
      <c r="G27" s="241">
        <v>0</v>
      </c>
      <c r="H27" s="242">
        <v>0</v>
      </c>
    </row>
    <row r="28" spans="1:8" ht="15.75" x14ac:dyDescent="0.25">
      <c r="A28" s="19"/>
      <c r="B28" s="165">
        <f>DATE(22,12,1)</f>
        <v>8371</v>
      </c>
      <c r="C28" s="226">
        <v>0</v>
      </c>
      <c r="D28" s="226">
        <v>0</v>
      </c>
      <c r="E28" s="226">
        <v>0</v>
      </c>
      <c r="F28" s="166">
        <v>0</v>
      </c>
      <c r="G28" s="241">
        <v>0</v>
      </c>
      <c r="H28" s="242">
        <v>0</v>
      </c>
    </row>
    <row r="29" spans="1:8" ht="15.75" x14ac:dyDescent="0.25">
      <c r="A29" s="19"/>
      <c r="B29" s="165">
        <f>DATE(23,1,1)</f>
        <v>8402</v>
      </c>
      <c r="C29" s="226">
        <v>0</v>
      </c>
      <c r="D29" s="226">
        <v>0</v>
      </c>
      <c r="E29" s="226">
        <v>0</v>
      </c>
      <c r="F29" s="166">
        <v>0</v>
      </c>
      <c r="G29" s="241">
        <v>0</v>
      </c>
      <c r="H29" s="242">
        <v>0</v>
      </c>
    </row>
    <row r="30" spans="1:8" ht="15.75" x14ac:dyDescent="0.25">
      <c r="A30" s="19"/>
      <c r="B30" s="165">
        <f>DATE(23,2,1)</f>
        <v>8433</v>
      </c>
      <c r="C30" s="226">
        <v>0</v>
      </c>
      <c r="D30" s="226">
        <v>0</v>
      </c>
      <c r="E30" s="226">
        <v>0</v>
      </c>
      <c r="F30" s="166">
        <v>0</v>
      </c>
      <c r="G30" s="241">
        <v>0</v>
      </c>
      <c r="H30" s="242">
        <v>0</v>
      </c>
    </row>
    <row r="31" spans="1:8" ht="15.75" x14ac:dyDescent="0.25">
      <c r="A31" s="19"/>
      <c r="B31" s="165">
        <f>DATE(23,3,1)</f>
        <v>8461</v>
      </c>
      <c r="C31" s="226">
        <v>0</v>
      </c>
      <c r="D31" s="226">
        <v>0</v>
      </c>
      <c r="E31" s="226">
        <v>0</v>
      </c>
      <c r="F31" s="166">
        <v>0</v>
      </c>
      <c r="G31" s="241">
        <v>0</v>
      </c>
      <c r="H31" s="242">
        <v>0</v>
      </c>
    </row>
    <row r="32" spans="1:8" ht="15.75" x14ac:dyDescent="0.25">
      <c r="A32" s="19"/>
      <c r="B32" s="165">
        <f>DATE(23,4,1)</f>
        <v>8492</v>
      </c>
      <c r="C32" s="226">
        <v>0</v>
      </c>
      <c r="D32" s="226">
        <v>0</v>
      </c>
      <c r="E32" s="226">
        <v>0</v>
      </c>
      <c r="F32" s="166">
        <v>0</v>
      </c>
      <c r="G32" s="241">
        <v>0</v>
      </c>
      <c r="H32" s="242">
        <v>0</v>
      </c>
    </row>
    <row r="33" spans="1:8" ht="15.75" thickBot="1" x14ac:dyDescent="0.25">
      <c r="A33" s="167"/>
      <c r="B33" s="165"/>
      <c r="C33" s="226"/>
      <c r="D33" s="226"/>
      <c r="E33" s="226"/>
      <c r="F33" s="166"/>
      <c r="G33" s="241"/>
      <c r="H33" s="242"/>
    </row>
    <row r="34" spans="1:8" ht="17.25" thickTop="1" thickBot="1" x14ac:dyDescent="0.3">
      <c r="A34" s="169" t="s">
        <v>14</v>
      </c>
      <c r="B34" s="155"/>
      <c r="C34" s="223">
        <f>SUM(C23:C33)</f>
        <v>0</v>
      </c>
      <c r="D34" s="223">
        <f>SUM(D23:D33)</f>
        <v>0</v>
      </c>
      <c r="E34" s="223">
        <f>SUM(E23:E33)</f>
        <v>0</v>
      </c>
      <c r="F34" s="170">
        <v>0</v>
      </c>
      <c r="G34" s="236">
        <v>0</v>
      </c>
      <c r="H34" s="237">
        <v>0</v>
      </c>
    </row>
    <row r="35" spans="1:8" ht="15.75" thickTop="1" x14ac:dyDescent="0.2">
      <c r="A35" s="171"/>
      <c r="B35" s="172"/>
      <c r="C35" s="227"/>
      <c r="D35" s="227"/>
      <c r="E35" s="227"/>
      <c r="F35" s="173"/>
      <c r="G35" s="243"/>
      <c r="H35" s="244"/>
    </row>
    <row r="36" spans="1:8" ht="15.75" x14ac:dyDescent="0.25">
      <c r="A36" s="19" t="s">
        <v>62</v>
      </c>
      <c r="B36" s="165">
        <f>DATE(22,7,1)</f>
        <v>8218</v>
      </c>
      <c r="C36" s="226">
        <v>0</v>
      </c>
      <c r="D36" s="226">
        <v>0</v>
      </c>
      <c r="E36" s="226">
        <v>0</v>
      </c>
      <c r="F36" s="166">
        <v>0</v>
      </c>
      <c r="G36" s="241">
        <v>0</v>
      </c>
      <c r="H36" s="242">
        <v>0</v>
      </c>
    </row>
    <row r="37" spans="1:8" ht="15.75" x14ac:dyDescent="0.25">
      <c r="A37" s="19"/>
      <c r="B37" s="165">
        <f>DATE(22,8,1)</f>
        <v>8249</v>
      </c>
      <c r="C37" s="226">
        <v>0</v>
      </c>
      <c r="D37" s="226">
        <v>0</v>
      </c>
      <c r="E37" s="226">
        <v>0</v>
      </c>
      <c r="F37" s="166">
        <v>0</v>
      </c>
      <c r="G37" s="241">
        <v>0</v>
      </c>
      <c r="H37" s="242">
        <v>0</v>
      </c>
    </row>
    <row r="38" spans="1:8" ht="15.75" x14ac:dyDescent="0.25">
      <c r="A38" s="19"/>
      <c r="B38" s="165">
        <f>DATE(22,9,1)</f>
        <v>8280</v>
      </c>
      <c r="C38" s="226">
        <v>0</v>
      </c>
      <c r="D38" s="226">
        <v>0</v>
      </c>
      <c r="E38" s="226">
        <v>0</v>
      </c>
      <c r="F38" s="166">
        <v>0</v>
      </c>
      <c r="G38" s="241">
        <v>0</v>
      </c>
      <c r="H38" s="242">
        <v>0</v>
      </c>
    </row>
    <row r="39" spans="1:8" ht="15.75" x14ac:dyDescent="0.25">
      <c r="A39" s="19"/>
      <c r="B39" s="165">
        <f>DATE(22,10,1)</f>
        <v>8310</v>
      </c>
      <c r="C39" s="226">
        <v>0</v>
      </c>
      <c r="D39" s="226">
        <v>0</v>
      </c>
      <c r="E39" s="226">
        <v>0</v>
      </c>
      <c r="F39" s="166">
        <v>0</v>
      </c>
      <c r="G39" s="241">
        <v>0</v>
      </c>
      <c r="H39" s="242">
        <v>0</v>
      </c>
    </row>
    <row r="40" spans="1:8" ht="15.75" x14ac:dyDescent="0.25">
      <c r="A40" s="19"/>
      <c r="B40" s="165">
        <f>DATE(22,11,1)</f>
        <v>8341</v>
      </c>
      <c r="C40" s="226">
        <v>0</v>
      </c>
      <c r="D40" s="226">
        <v>0</v>
      </c>
      <c r="E40" s="226">
        <v>0</v>
      </c>
      <c r="F40" s="166">
        <v>0</v>
      </c>
      <c r="G40" s="241">
        <v>0</v>
      </c>
      <c r="H40" s="242">
        <v>0</v>
      </c>
    </row>
    <row r="41" spans="1:8" ht="15.75" x14ac:dyDescent="0.25">
      <c r="A41" s="19"/>
      <c r="B41" s="165">
        <f>DATE(22,12,1)</f>
        <v>8371</v>
      </c>
      <c r="C41" s="226">
        <v>0</v>
      </c>
      <c r="D41" s="226">
        <v>0</v>
      </c>
      <c r="E41" s="226">
        <v>0</v>
      </c>
      <c r="F41" s="166">
        <v>0</v>
      </c>
      <c r="G41" s="241">
        <v>0</v>
      </c>
      <c r="H41" s="242">
        <v>0</v>
      </c>
    </row>
    <row r="42" spans="1:8" ht="15.75" x14ac:dyDescent="0.25">
      <c r="A42" s="19"/>
      <c r="B42" s="165">
        <f>DATE(23,1,1)</f>
        <v>8402</v>
      </c>
      <c r="C42" s="226">
        <v>0</v>
      </c>
      <c r="D42" s="226">
        <v>0</v>
      </c>
      <c r="E42" s="226">
        <v>0</v>
      </c>
      <c r="F42" s="166">
        <v>0</v>
      </c>
      <c r="G42" s="241">
        <v>0</v>
      </c>
      <c r="H42" s="242">
        <v>0</v>
      </c>
    </row>
    <row r="43" spans="1:8" ht="15.75" x14ac:dyDescent="0.25">
      <c r="A43" s="19"/>
      <c r="B43" s="165">
        <f>DATE(23,2,1)</f>
        <v>8433</v>
      </c>
      <c r="C43" s="226">
        <v>0</v>
      </c>
      <c r="D43" s="226">
        <v>0</v>
      </c>
      <c r="E43" s="226">
        <v>0</v>
      </c>
      <c r="F43" s="166">
        <v>0</v>
      </c>
      <c r="G43" s="241">
        <v>0</v>
      </c>
      <c r="H43" s="242">
        <v>0</v>
      </c>
    </row>
    <row r="44" spans="1:8" ht="15.75" x14ac:dyDescent="0.25">
      <c r="A44" s="19"/>
      <c r="B44" s="165">
        <f>DATE(23,3,1)</f>
        <v>8461</v>
      </c>
      <c r="C44" s="226">
        <v>0</v>
      </c>
      <c r="D44" s="226">
        <v>0</v>
      </c>
      <c r="E44" s="226">
        <v>0</v>
      </c>
      <c r="F44" s="166">
        <v>0</v>
      </c>
      <c r="G44" s="241">
        <v>0</v>
      </c>
      <c r="H44" s="242">
        <v>0</v>
      </c>
    </row>
    <row r="45" spans="1:8" ht="15.75" x14ac:dyDescent="0.25">
      <c r="A45" s="19"/>
      <c r="B45" s="165">
        <f>DATE(23,4,1)</f>
        <v>8492</v>
      </c>
      <c r="C45" s="226">
        <v>0</v>
      </c>
      <c r="D45" s="226">
        <v>0</v>
      </c>
      <c r="E45" s="226">
        <v>0</v>
      </c>
      <c r="F45" s="166">
        <v>0</v>
      </c>
      <c r="G45" s="241">
        <v>0</v>
      </c>
      <c r="H45" s="242">
        <v>0</v>
      </c>
    </row>
    <row r="46" spans="1:8" ht="15.75" thickBot="1" x14ac:dyDescent="0.25">
      <c r="A46" s="167"/>
      <c r="B46" s="165"/>
      <c r="C46" s="226"/>
      <c r="D46" s="226"/>
      <c r="E46" s="226"/>
      <c r="F46" s="166"/>
      <c r="G46" s="241"/>
      <c r="H46" s="242"/>
    </row>
    <row r="47" spans="1:8" ht="17.25" thickTop="1" thickBot="1" x14ac:dyDescent="0.3">
      <c r="A47" s="174" t="s">
        <v>14</v>
      </c>
      <c r="B47" s="175"/>
      <c r="C47" s="228">
        <f>SUM(C36:C46)</f>
        <v>0</v>
      </c>
      <c r="D47" s="228">
        <f>SUM(D36:D46)</f>
        <v>0</v>
      </c>
      <c r="E47" s="228">
        <f>SUM(E36:E46)</f>
        <v>0</v>
      </c>
      <c r="F47" s="176">
        <v>0</v>
      </c>
      <c r="G47" s="245">
        <v>0</v>
      </c>
      <c r="H47" s="246">
        <v>0</v>
      </c>
    </row>
    <row r="48" spans="1:8" ht="15.75" thickTop="1" x14ac:dyDescent="0.2">
      <c r="A48" s="167"/>
      <c r="B48" s="168"/>
      <c r="C48" s="226"/>
      <c r="D48" s="226"/>
      <c r="E48" s="226"/>
      <c r="F48" s="166"/>
      <c r="G48" s="241"/>
      <c r="H48" s="242"/>
    </row>
    <row r="49" spans="1:8" ht="15.75" x14ac:dyDescent="0.25">
      <c r="A49" s="177" t="s">
        <v>58</v>
      </c>
      <c r="B49" s="165">
        <f>DATE(22,7,1)</f>
        <v>8218</v>
      </c>
      <c r="C49" s="226">
        <v>3178065.75</v>
      </c>
      <c r="D49" s="226">
        <v>133555.04</v>
      </c>
      <c r="E49" s="226">
        <v>0</v>
      </c>
      <c r="F49" s="166">
        <v>1</v>
      </c>
      <c r="G49" s="241">
        <f t="shared" ref="G49:G55" si="0">+D49/C49</f>
        <v>4.2024001548740773E-2</v>
      </c>
      <c r="H49" s="289">
        <f t="shared" ref="H49:H55" si="1">1-G49</f>
        <v>0.95797599845125925</v>
      </c>
    </row>
    <row r="50" spans="1:8" ht="15.75" x14ac:dyDescent="0.25">
      <c r="A50" s="177"/>
      <c r="B50" s="165">
        <f>DATE(22,8,1)</f>
        <v>8249</v>
      </c>
      <c r="C50" s="226">
        <v>3240013.32</v>
      </c>
      <c r="D50" s="226">
        <v>183477.77</v>
      </c>
      <c r="E50" s="226">
        <v>0</v>
      </c>
      <c r="F50" s="166">
        <v>1</v>
      </c>
      <c r="G50" s="241">
        <f t="shared" si="0"/>
        <v>5.662870855111176E-2</v>
      </c>
      <c r="H50" s="289">
        <f t="shared" si="1"/>
        <v>0.94337129144888821</v>
      </c>
    </row>
    <row r="51" spans="1:8" ht="15.75" x14ac:dyDescent="0.25">
      <c r="A51" s="177"/>
      <c r="B51" s="165">
        <f>DATE(22,9,1)</f>
        <v>8280</v>
      </c>
      <c r="C51" s="226">
        <v>3318547.55</v>
      </c>
      <c r="D51" s="226">
        <v>155342.66</v>
      </c>
      <c r="E51" s="226">
        <v>0</v>
      </c>
      <c r="F51" s="166">
        <v>1</v>
      </c>
      <c r="G51" s="241">
        <f t="shared" si="0"/>
        <v>4.6810436692401772E-2</v>
      </c>
      <c r="H51" s="289">
        <f t="shared" si="1"/>
        <v>0.95318956330759819</v>
      </c>
    </row>
    <row r="52" spans="1:8" ht="15.75" x14ac:dyDescent="0.25">
      <c r="A52" s="177"/>
      <c r="B52" s="165">
        <f>DATE(22,10,1)</f>
        <v>8310</v>
      </c>
      <c r="C52" s="226">
        <v>2155526.5299999998</v>
      </c>
      <c r="D52" s="226">
        <v>95342.11</v>
      </c>
      <c r="E52" s="226">
        <v>0</v>
      </c>
      <c r="F52" s="166">
        <v>1</v>
      </c>
      <c r="G52" s="241">
        <f t="shared" si="0"/>
        <v>4.4231471370477636E-2</v>
      </c>
      <c r="H52" s="289">
        <f t="shared" si="1"/>
        <v>0.95576852862952233</v>
      </c>
    </row>
    <row r="53" spans="1:8" ht="15.75" x14ac:dyDescent="0.25">
      <c r="A53" s="177"/>
      <c r="B53" s="165">
        <f>DATE(22,11,1)</f>
        <v>8341</v>
      </c>
      <c r="C53" s="226">
        <v>2999410.04</v>
      </c>
      <c r="D53" s="226">
        <v>123201.53</v>
      </c>
      <c r="E53" s="226">
        <v>0</v>
      </c>
      <c r="F53" s="166">
        <v>1</v>
      </c>
      <c r="G53" s="241">
        <f t="shared" si="0"/>
        <v>4.1075254252332903E-2</v>
      </c>
      <c r="H53" s="289">
        <f t="shared" si="1"/>
        <v>0.95892474574766706</v>
      </c>
    </row>
    <row r="54" spans="1:8" ht="15.75" x14ac:dyDescent="0.25">
      <c r="A54" s="177"/>
      <c r="B54" s="165">
        <f>DATE(22,12,1)</f>
        <v>8371</v>
      </c>
      <c r="C54" s="226">
        <v>3580735.96</v>
      </c>
      <c r="D54" s="226">
        <v>124084.02</v>
      </c>
      <c r="E54" s="226">
        <v>0</v>
      </c>
      <c r="F54" s="166">
        <v>1</v>
      </c>
      <c r="G54" s="241">
        <f t="shared" si="0"/>
        <v>3.4653216932532496E-2</v>
      </c>
      <c r="H54" s="289">
        <f t="shared" si="1"/>
        <v>0.96534678306746746</v>
      </c>
    </row>
    <row r="55" spans="1:8" ht="15.75" x14ac:dyDescent="0.25">
      <c r="A55" s="177"/>
      <c r="B55" s="165">
        <f>DATE(23,1,1)</f>
        <v>8402</v>
      </c>
      <c r="C55" s="226">
        <v>811007.52</v>
      </c>
      <c r="D55" s="226">
        <v>43801.09</v>
      </c>
      <c r="E55" s="226">
        <v>0</v>
      </c>
      <c r="F55" s="166">
        <v>1</v>
      </c>
      <c r="G55" s="241">
        <f t="shared" si="0"/>
        <v>5.4008241501879037E-2</v>
      </c>
      <c r="H55" s="289">
        <f t="shared" si="1"/>
        <v>0.945991758498121</v>
      </c>
    </row>
    <row r="56" spans="1:8" ht="15.75" x14ac:dyDescent="0.25">
      <c r="A56" s="177"/>
      <c r="B56" s="165">
        <f>DATE(23,2,1)</f>
        <v>8433</v>
      </c>
      <c r="C56" s="226">
        <v>0</v>
      </c>
      <c r="D56" s="226">
        <v>0</v>
      </c>
      <c r="E56" s="226">
        <v>0</v>
      </c>
      <c r="F56" s="166">
        <v>0</v>
      </c>
      <c r="G56" s="241">
        <v>0</v>
      </c>
      <c r="H56" s="289">
        <v>0</v>
      </c>
    </row>
    <row r="57" spans="1:8" ht="15.75" x14ac:dyDescent="0.25">
      <c r="A57" s="177"/>
      <c r="B57" s="165">
        <f>DATE(23,3,1)</f>
        <v>8461</v>
      </c>
      <c r="C57" s="226">
        <v>0</v>
      </c>
      <c r="D57" s="226">
        <v>0</v>
      </c>
      <c r="E57" s="226">
        <v>0</v>
      </c>
      <c r="F57" s="166">
        <v>0</v>
      </c>
      <c r="G57" s="241">
        <v>0</v>
      </c>
      <c r="H57" s="289">
        <v>0</v>
      </c>
    </row>
    <row r="58" spans="1:8" ht="15.75" x14ac:dyDescent="0.25">
      <c r="A58" s="177"/>
      <c r="B58" s="165">
        <f>DATE(23,4,1)</f>
        <v>8492</v>
      </c>
      <c r="C58" s="226">
        <v>0</v>
      </c>
      <c r="D58" s="226">
        <v>0</v>
      </c>
      <c r="E58" s="226">
        <v>0</v>
      </c>
      <c r="F58" s="166">
        <v>0</v>
      </c>
      <c r="G58" s="241">
        <v>0</v>
      </c>
      <c r="H58" s="289">
        <v>0</v>
      </c>
    </row>
    <row r="59" spans="1:8" ht="15.75" thickBot="1" x14ac:dyDescent="0.25">
      <c r="A59" s="167"/>
      <c r="B59" s="168"/>
      <c r="C59" s="226"/>
      <c r="D59" s="226"/>
      <c r="E59" s="226"/>
      <c r="F59" s="166"/>
      <c r="G59" s="241"/>
      <c r="H59" s="242"/>
    </row>
    <row r="60" spans="1:8" ht="17.25" thickTop="1" thickBot="1" x14ac:dyDescent="0.3">
      <c r="A60" s="174" t="s">
        <v>14</v>
      </c>
      <c r="B60" s="178"/>
      <c r="C60" s="228">
        <f>SUM(C49:C59)</f>
        <v>19283306.670000002</v>
      </c>
      <c r="D60" s="228">
        <f>SUM(D49:D59)</f>
        <v>858804.22</v>
      </c>
      <c r="E60" s="228">
        <f>SUM(E49:E59)</f>
        <v>0</v>
      </c>
      <c r="F60" s="176">
        <v>1</v>
      </c>
      <c r="G60" s="245">
        <f>+D60/C60</f>
        <v>4.4536149048341606E-2</v>
      </c>
      <c r="H60" s="246">
        <f>1-G60</f>
        <v>0.95546385095165842</v>
      </c>
    </row>
    <row r="61" spans="1:8" ht="15.75" thickTop="1" x14ac:dyDescent="0.2">
      <c r="A61" s="167"/>
      <c r="B61" s="168"/>
      <c r="C61" s="226"/>
      <c r="D61" s="226"/>
      <c r="E61" s="226"/>
      <c r="F61" s="166"/>
      <c r="G61" s="241"/>
      <c r="H61" s="242"/>
    </row>
    <row r="62" spans="1:8" ht="15.75" x14ac:dyDescent="0.25">
      <c r="A62" s="164" t="s">
        <v>60</v>
      </c>
      <c r="B62" s="165">
        <f>DATE(22,7,1)</f>
        <v>8218</v>
      </c>
      <c r="C62" s="226">
        <v>0</v>
      </c>
      <c r="D62" s="226">
        <v>0</v>
      </c>
      <c r="E62" s="226">
        <v>0</v>
      </c>
      <c r="F62" s="166">
        <v>0</v>
      </c>
      <c r="G62" s="241">
        <v>0</v>
      </c>
      <c r="H62" s="242">
        <v>0</v>
      </c>
    </row>
    <row r="63" spans="1:8" ht="15.75" x14ac:dyDescent="0.25">
      <c r="A63" s="164"/>
      <c r="B63" s="165">
        <f>DATE(22,8,1)</f>
        <v>8249</v>
      </c>
      <c r="C63" s="226">
        <v>0</v>
      </c>
      <c r="D63" s="226">
        <v>0</v>
      </c>
      <c r="E63" s="226">
        <v>0</v>
      </c>
      <c r="F63" s="166">
        <v>0</v>
      </c>
      <c r="G63" s="241">
        <v>0</v>
      </c>
      <c r="H63" s="242">
        <v>0</v>
      </c>
    </row>
    <row r="64" spans="1:8" ht="15.75" x14ac:dyDescent="0.25">
      <c r="A64" s="164"/>
      <c r="B64" s="165">
        <f>DATE(22,9,1)</f>
        <v>8280</v>
      </c>
      <c r="C64" s="226">
        <v>0</v>
      </c>
      <c r="D64" s="226">
        <v>0</v>
      </c>
      <c r="E64" s="226">
        <v>0</v>
      </c>
      <c r="F64" s="166">
        <v>0</v>
      </c>
      <c r="G64" s="241">
        <v>0</v>
      </c>
      <c r="H64" s="242">
        <v>0</v>
      </c>
    </row>
    <row r="65" spans="1:8" ht="15.75" x14ac:dyDescent="0.25">
      <c r="A65" s="164"/>
      <c r="B65" s="165">
        <f>DATE(22,10,1)</f>
        <v>8310</v>
      </c>
      <c r="C65" s="226">
        <v>0</v>
      </c>
      <c r="D65" s="226">
        <v>0</v>
      </c>
      <c r="E65" s="226">
        <v>0</v>
      </c>
      <c r="F65" s="166">
        <v>0</v>
      </c>
      <c r="G65" s="241">
        <v>0</v>
      </c>
      <c r="H65" s="242">
        <v>0</v>
      </c>
    </row>
    <row r="66" spans="1:8" ht="15.75" x14ac:dyDescent="0.25">
      <c r="A66" s="164"/>
      <c r="B66" s="165">
        <f>DATE(22,11,1)</f>
        <v>8341</v>
      </c>
      <c r="C66" s="226">
        <v>0</v>
      </c>
      <c r="D66" s="226">
        <v>0</v>
      </c>
      <c r="E66" s="226">
        <v>0</v>
      </c>
      <c r="F66" s="166">
        <v>0</v>
      </c>
      <c r="G66" s="241">
        <v>0</v>
      </c>
      <c r="H66" s="242">
        <v>0</v>
      </c>
    </row>
    <row r="67" spans="1:8" ht="15.75" x14ac:dyDescent="0.25">
      <c r="A67" s="164"/>
      <c r="B67" s="165">
        <f>DATE(22,12,1)</f>
        <v>8371</v>
      </c>
      <c r="C67" s="226">
        <v>0</v>
      </c>
      <c r="D67" s="226">
        <v>0</v>
      </c>
      <c r="E67" s="226">
        <v>0</v>
      </c>
      <c r="F67" s="166">
        <v>0</v>
      </c>
      <c r="G67" s="241">
        <v>0</v>
      </c>
      <c r="H67" s="242">
        <v>0</v>
      </c>
    </row>
    <row r="68" spans="1:8" ht="15.75" x14ac:dyDescent="0.25">
      <c r="A68" s="164"/>
      <c r="B68" s="165">
        <f>DATE(23,1,1)</f>
        <v>8402</v>
      </c>
      <c r="C68" s="226">
        <v>0</v>
      </c>
      <c r="D68" s="226">
        <v>0</v>
      </c>
      <c r="E68" s="226">
        <v>0</v>
      </c>
      <c r="F68" s="166">
        <v>0</v>
      </c>
      <c r="G68" s="241">
        <v>0</v>
      </c>
      <c r="H68" s="242">
        <v>0</v>
      </c>
    </row>
    <row r="69" spans="1:8" ht="15.75" x14ac:dyDescent="0.25">
      <c r="A69" s="164"/>
      <c r="B69" s="165">
        <f>DATE(23,2,1)</f>
        <v>8433</v>
      </c>
      <c r="C69" s="226">
        <v>0</v>
      </c>
      <c r="D69" s="226">
        <v>0</v>
      </c>
      <c r="E69" s="226">
        <v>0</v>
      </c>
      <c r="F69" s="166">
        <v>0</v>
      </c>
      <c r="G69" s="241">
        <v>0</v>
      </c>
      <c r="H69" s="242">
        <v>0</v>
      </c>
    </row>
    <row r="70" spans="1:8" ht="15.75" x14ac:dyDescent="0.25">
      <c r="A70" s="164"/>
      <c r="B70" s="165">
        <f>DATE(23,3,1)</f>
        <v>8461</v>
      </c>
      <c r="C70" s="226">
        <v>0</v>
      </c>
      <c r="D70" s="226">
        <v>0</v>
      </c>
      <c r="E70" s="226">
        <v>0</v>
      </c>
      <c r="F70" s="166">
        <v>0</v>
      </c>
      <c r="G70" s="241">
        <v>0</v>
      </c>
      <c r="H70" s="242">
        <v>0</v>
      </c>
    </row>
    <row r="71" spans="1:8" ht="15.75" x14ac:dyDescent="0.25">
      <c r="A71" s="164"/>
      <c r="B71" s="165">
        <f>DATE(23,4,1)</f>
        <v>8492</v>
      </c>
      <c r="C71" s="226">
        <v>0</v>
      </c>
      <c r="D71" s="226">
        <v>0</v>
      </c>
      <c r="E71" s="226">
        <v>0</v>
      </c>
      <c r="F71" s="166">
        <v>0</v>
      </c>
      <c r="G71" s="241">
        <v>0</v>
      </c>
      <c r="H71" s="242">
        <v>0</v>
      </c>
    </row>
    <row r="72" spans="1:8" ht="15.75" thickBot="1" x14ac:dyDescent="0.25">
      <c r="A72" s="167"/>
      <c r="B72" s="165"/>
      <c r="C72" s="226"/>
      <c r="D72" s="226"/>
      <c r="E72" s="226"/>
      <c r="F72" s="166"/>
      <c r="G72" s="241"/>
      <c r="H72" s="242"/>
    </row>
    <row r="73" spans="1:8" ht="17.25" thickTop="1" thickBot="1" x14ac:dyDescent="0.3">
      <c r="A73" s="174" t="s">
        <v>14</v>
      </c>
      <c r="B73" s="175"/>
      <c r="C73" s="228">
        <f>SUM(C62:C72)</f>
        <v>0</v>
      </c>
      <c r="D73" s="230">
        <f>SUM(D62:D72)</f>
        <v>0</v>
      </c>
      <c r="E73" s="271">
        <f>SUM(E62:E72)</f>
        <v>0</v>
      </c>
      <c r="F73" s="176">
        <v>0</v>
      </c>
      <c r="G73" s="245">
        <v>0</v>
      </c>
      <c r="H73" s="246">
        <v>0</v>
      </c>
    </row>
    <row r="74" spans="1:8" ht="15.75" thickTop="1" x14ac:dyDescent="0.2">
      <c r="A74" s="167"/>
      <c r="B74" s="168"/>
      <c r="C74" s="226"/>
      <c r="D74" s="226"/>
      <c r="E74" s="226"/>
      <c r="F74" s="166"/>
      <c r="G74" s="241"/>
      <c r="H74" s="242"/>
    </row>
    <row r="75" spans="1:8" ht="15.75" x14ac:dyDescent="0.25">
      <c r="A75" s="164" t="s">
        <v>64</v>
      </c>
      <c r="B75" s="165">
        <f>DATE(22,7,1)</f>
        <v>8218</v>
      </c>
      <c r="C75" s="226">
        <v>0</v>
      </c>
      <c r="D75" s="226">
        <v>0</v>
      </c>
      <c r="E75" s="226">
        <v>0</v>
      </c>
      <c r="F75" s="166">
        <v>0</v>
      </c>
      <c r="G75" s="241">
        <v>0</v>
      </c>
      <c r="H75" s="242">
        <v>0</v>
      </c>
    </row>
    <row r="76" spans="1:8" ht="15.75" x14ac:dyDescent="0.25">
      <c r="A76" s="164"/>
      <c r="B76" s="165">
        <f>DATE(22,8,1)</f>
        <v>8249</v>
      </c>
      <c r="C76" s="226">
        <v>0</v>
      </c>
      <c r="D76" s="226">
        <v>0</v>
      </c>
      <c r="E76" s="226">
        <v>0</v>
      </c>
      <c r="F76" s="166">
        <v>0</v>
      </c>
      <c r="G76" s="241">
        <v>0</v>
      </c>
      <c r="H76" s="242">
        <v>0</v>
      </c>
    </row>
    <row r="77" spans="1:8" ht="15.75" x14ac:dyDescent="0.25">
      <c r="A77" s="164"/>
      <c r="B77" s="165">
        <f>DATE(22,9,1)</f>
        <v>8280</v>
      </c>
      <c r="C77" s="226">
        <v>0</v>
      </c>
      <c r="D77" s="226">
        <v>0</v>
      </c>
      <c r="E77" s="226">
        <v>0</v>
      </c>
      <c r="F77" s="166">
        <v>0</v>
      </c>
      <c r="G77" s="241">
        <v>0</v>
      </c>
      <c r="H77" s="242">
        <v>0</v>
      </c>
    </row>
    <row r="78" spans="1:8" ht="15.75" x14ac:dyDescent="0.25">
      <c r="A78" s="164"/>
      <c r="B78" s="165">
        <f>DATE(22,10,1)</f>
        <v>8310</v>
      </c>
      <c r="C78" s="226">
        <v>0</v>
      </c>
      <c r="D78" s="226">
        <v>0</v>
      </c>
      <c r="E78" s="226">
        <v>0</v>
      </c>
      <c r="F78" s="166">
        <v>0</v>
      </c>
      <c r="G78" s="241">
        <v>0</v>
      </c>
      <c r="H78" s="242">
        <v>0</v>
      </c>
    </row>
    <row r="79" spans="1:8" ht="15.75" x14ac:dyDescent="0.25">
      <c r="A79" s="164"/>
      <c r="B79" s="165">
        <f>DATE(22,11,1)</f>
        <v>8341</v>
      </c>
      <c r="C79" s="226">
        <v>0</v>
      </c>
      <c r="D79" s="226">
        <v>0</v>
      </c>
      <c r="E79" s="226">
        <v>0</v>
      </c>
      <c r="F79" s="166">
        <v>0</v>
      </c>
      <c r="G79" s="241">
        <v>0</v>
      </c>
      <c r="H79" s="242">
        <v>0</v>
      </c>
    </row>
    <row r="80" spans="1:8" ht="15.75" x14ac:dyDescent="0.25">
      <c r="A80" s="164"/>
      <c r="B80" s="165">
        <f>DATE(22,12,1)</f>
        <v>8371</v>
      </c>
      <c r="C80" s="226">
        <v>0</v>
      </c>
      <c r="D80" s="226">
        <v>0</v>
      </c>
      <c r="E80" s="226">
        <v>0</v>
      </c>
      <c r="F80" s="166">
        <v>0</v>
      </c>
      <c r="G80" s="241">
        <v>0</v>
      </c>
      <c r="H80" s="242">
        <v>0</v>
      </c>
    </row>
    <row r="81" spans="1:8" ht="15.75" x14ac:dyDescent="0.25">
      <c r="A81" s="164"/>
      <c r="B81" s="165">
        <f>DATE(23,1,1)</f>
        <v>8402</v>
      </c>
      <c r="C81" s="226">
        <v>0</v>
      </c>
      <c r="D81" s="226">
        <v>0</v>
      </c>
      <c r="E81" s="226">
        <v>0</v>
      </c>
      <c r="F81" s="166">
        <v>0</v>
      </c>
      <c r="G81" s="241">
        <v>0</v>
      </c>
      <c r="H81" s="242">
        <v>0</v>
      </c>
    </row>
    <row r="82" spans="1:8" ht="15.75" x14ac:dyDescent="0.25">
      <c r="A82" s="164"/>
      <c r="B82" s="165">
        <f>DATE(23,2,1)</f>
        <v>8433</v>
      </c>
      <c r="C82" s="226">
        <v>0</v>
      </c>
      <c r="D82" s="226">
        <v>0</v>
      </c>
      <c r="E82" s="226">
        <v>0</v>
      </c>
      <c r="F82" s="166">
        <v>0</v>
      </c>
      <c r="G82" s="241">
        <v>0</v>
      </c>
      <c r="H82" s="242">
        <v>0</v>
      </c>
    </row>
    <row r="83" spans="1:8" ht="15.75" x14ac:dyDescent="0.25">
      <c r="A83" s="164"/>
      <c r="B83" s="165">
        <f>DATE(23,3,1)</f>
        <v>8461</v>
      </c>
      <c r="C83" s="226">
        <v>0</v>
      </c>
      <c r="D83" s="226">
        <v>0</v>
      </c>
      <c r="E83" s="226">
        <v>0</v>
      </c>
      <c r="F83" s="166">
        <v>0</v>
      </c>
      <c r="G83" s="241">
        <v>0</v>
      </c>
      <c r="H83" s="242">
        <v>0</v>
      </c>
    </row>
    <row r="84" spans="1:8" ht="15.75" x14ac:dyDescent="0.25">
      <c r="A84" s="164"/>
      <c r="B84" s="165">
        <f>DATE(23,4,1)</f>
        <v>8492</v>
      </c>
      <c r="C84" s="226">
        <v>0</v>
      </c>
      <c r="D84" s="226">
        <v>0</v>
      </c>
      <c r="E84" s="226">
        <v>0</v>
      </c>
      <c r="F84" s="166">
        <v>0</v>
      </c>
      <c r="G84" s="241">
        <v>0</v>
      </c>
      <c r="H84" s="242">
        <v>0</v>
      </c>
    </row>
    <row r="85" spans="1:8" ht="15.75" thickBot="1" x14ac:dyDescent="0.25">
      <c r="A85" s="167"/>
      <c r="B85" s="165"/>
      <c r="C85" s="226"/>
      <c r="D85" s="226"/>
      <c r="E85" s="226"/>
      <c r="F85" s="166"/>
      <c r="G85" s="241"/>
      <c r="H85" s="242"/>
    </row>
    <row r="86" spans="1:8" ht="17.25" thickTop="1" thickBot="1" x14ac:dyDescent="0.3">
      <c r="A86" s="174" t="s">
        <v>14</v>
      </c>
      <c r="B86" s="175"/>
      <c r="C86" s="228">
        <f>SUM(C75:C85)</f>
        <v>0</v>
      </c>
      <c r="D86" s="230">
        <f>SUM(D75:D85)</f>
        <v>0</v>
      </c>
      <c r="E86" s="271">
        <f>SUM(E75:E85)</f>
        <v>0</v>
      </c>
      <c r="F86" s="176">
        <v>0</v>
      </c>
      <c r="G86" s="245">
        <v>0</v>
      </c>
      <c r="H86" s="246">
        <v>0</v>
      </c>
    </row>
    <row r="87" spans="1:8" ht="15.75" thickTop="1" x14ac:dyDescent="0.2">
      <c r="A87" s="167"/>
      <c r="B87" s="168"/>
      <c r="C87" s="226"/>
      <c r="D87" s="226"/>
      <c r="E87" s="226"/>
      <c r="F87" s="166"/>
      <c r="G87" s="241"/>
      <c r="H87" s="242"/>
    </row>
    <row r="88" spans="1:8" ht="15.75" x14ac:dyDescent="0.25">
      <c r="A88" s="164" t="s">
        <v>67</v>
      </c>
      <c r="B88" s="165">
        <f>DATE(22,7,1)</f>
        <v>8218</v>
      </c>
      <c r="C88" s="226">
        <v>0</v>
      </c>
      <c r="D88" s="226">
        <v>0</v>
      </c>
      <c r="E88" s="226">
        <v>0</v>
      </c>
      <c r="F88" s="166">
        <v>0</v>
      </c>
      <c r="G88" s="241">
        <v>0</v>
      </c>
      <c r="H88" s="242">
        <v>0</v>
      </c>
    </row>
    <row r="89" spans="1:8" ht="15.75" x14ac:dyDescent="0.25">
      <c r="A89" s="164"/>
      <c r="B89" s="165">
        <f>DATE(22,8,1)</f>
        <v>8249</v>
      </c>
      <c r="C89" s="226">
        <v>0</v>
      </c>
      <c r="D89" s="226">
        <v>0</v>
      </c>
      <c r="E89" s="226">
        <v>0</v>
      </c>
      <c r="F89" s="166">
        <v>0</v>
      </c>
      <c r="G89" s="241">
        <v>0</v>
      </c>
      <c r="H89" s="242">
        <v>0</v>
      </c>
    </row>
    <row r="90" spans="1:8" ht="15.75" x14ac:dyDescent="0.25">
      <c r="A90" s="164"/>
      <c r="B90" s="165">
        <f>DATE(22,9,1)</f>
        <v>8280</v>
      </c>
      <c r="C90" s="226">
        <v>0</v>
      </c>
      <c r="D90" s="226">
        <v>0</v>
      </c>
      <c r="E90" s="226">
        <v>0</v>
      </c>
      <c r="F90" s="166">
        <v>0</v>
      </c>
      <c r="G90" s="241">
        <v>0</v>
      </c>
      <c r="H90" s="242">
        <v>0</v>
      </c>
    </row>
    <row r="91" spans="1:8" ht="15.75" x14ac:dyDescent="0.25">
      <c r="A91" s="164"/>
      <c r="B91" s="165">
        <f>DATE(22,10,1)</f>
        <v>8310</v>
      </c>
      <c r="C91" s="226">
        <v>0</v>
      </c>
      <c r="D91" s="226">
        <v>0</v>
      </c>
      <c r="E91" s="226">
        <v>0</v>
      </c>
      <c r="F91" s="166">
        <v>0</v>
      </c>
      <c r="G91" s="241">
        <v>0</v>
      </c>
      <c r="H91" s="242">
        <v>0</v>
      </c>
    </row>
    <row r="92" spans="1:8" ht="15.75" x14ac:dyDescent="0.25">
      <c r="A92" s="164"/>
      <c r="B92" s="165">
        <f>DATE(22,11,1)</f>
        <v>8341</v>
      </c>
      <c r="C92" s="226">
        <v>0</v>
      </c>
      <c r="D92" s="226">
        <v>0</v>
      </c>
      <c r="E92" s="226">
        <v>0</v>
      </c>
      <c r="F92" s="166">
        <v>0</v>
      </c>
      <c r="G92" s="241">
        <v>0</v>
      </c>
      <c r="H92" s="242">
        <v>0</v>
      </c>
    </row>
    <row r="93" spans="1:8" ht="15.75" x14ac:dyDescent="0.25">
      <c r="A93" s="164"/>
      <c r="B93" s="165">
        <f>DATE(22,12,1)</f>
        <v>8371</v>
      </c>
      <c r="C93" s="226">
        <v>0</v>
      </c>
      <c r="D93" s="226">
        <v>0</v>
      </c>
      <c r="E93" s="226">
        <v>0</v>
      </c>
      <c r="F93" s="166">
        <v>0</v>
      </c>
      <c r="G93" s="241">
        <v>0</v>
      </c>
      <c r="H93" s="242">
        <v>0</v>
      </c>
    </row>
    <row r="94" spans="1:8" ht="15.75" x14ac:dyDescent="0.25">
      <c r="A94" s="164"/>
      <c r="B94" s="165">
        <f>DATE(23,1,1)</f>
        <v>8402</v>
      </c>
      <c r="C94" s="226">
        <v>0</v>
      </c>
      <c r="D94" s="226">
        <v>0</v>
      </c>
      <c r="E94" s="226">
        <v>0</v>
      </c>
      <c r="F94" s="166">
        <v>0</v>
      </c>
      <c r="G94" s="241">
        <v>0</v>
      </c>
      <c r="H94" s="242">
        <v>0</v>
      </c>
    </row>
    <row r="95" spans="1:8" ht="15.75" x14ac:dyDescent="0.25">
      <c r="A95" s="164"/>
      <c r="B95" s="165">
        <f>DATE(23,2,1)</f>
        <v>8433</v>
      </c>
      <c r="C95" s="226">
        <v>0</v>
      </c>
      <c r="D95" s="226">
        <v>0</v>
      </c>
      <c r="E95" s="226">
        <v>0</v>
      </c>
      <c r="F95" s="166">
        <v>0</v>
      </c>
      <c r="G95" s="241">
        <v>0</v>
      </c>
      <c r="H95" s="242">
        <v>0</v>
      </c>
    </row>
    <row r="96" spans="1:8" ht="15.75" x14ac:dyDescent="0.25">
      <c r="A96" s="164"/>
      <c r="B96" s="165">
        <f>DATE(23,3,1)</f>
        <v>8461</v>
      </c>
      <c r="C96" s="226">
        <v>0</v>
      </c>
      <c r="D96" s="226">
        <v>0</v>
      </c>
      <c r="E96" s="226">
        <v>0</v>
      </c>
      <c r="F96" s="166">
        <v>0</v>
      </c>
      <c r="G96" s="241">
        <v>0</v>
      </c>
      <c r="H96" s="242">
        <v>0</v>
      </c>
    </row>
    <row r="97" spans="1:8" ht="15.75" x14ac:dyDescent="0.25">
      <c r="A97" s="164"/>
      <c r="B97" s="165">
        <f>DATE(23,4,1)</f>
        <v>8492</v>
      </c>
      <c r="C97" s="226">
        <v>0</v>
      </c>
      <c r="D97" s="226">
        <v>0</v>
      </c>
      <c r="E97" s="226">
        <v>0</v>
      </c>
      <c r="F97" s="166">
        <v>0</v>
      </c>
      <c r="G97" s="241">
        <v>0</v>
      </c>
      <c r="H97" s="242">
        <v>0</v>
      </c>
    </row>
    <row r="98" spans="1:8" ht="15.75" thickBot="1" x14ac:dyDescent="0.25">
      <c r="A98" s="167"/>
      <c r="B98" s="165"/>
      <c r="C98" s="226"/>
      <c r="D98" s="226"/>
      <c r="E98" s="226"/>
      <c r="F98" s="166"/>
      <c r="G98" s="241"/>
      <c r="H98" s="242"/>
    </row>
    <row r="99" spans="1:8" ht="17.25" thickTop="1" thickBot="1" x14ac:dyDescent="0.3">
      <c r="A99" s="174" t="s">
        <v>14</v>
      </c>
      <c r="B99" s="175"/>
      <c r="C99" s="228">
        <f>SUM(C88:C98)</f>
        <v>0</v>
      </c>
      <c r="D99" s="230">
        <f>SUM(D88:D98)</f>
        <v>0</v>
      </c>
      <c r="E99" s="271">
        <f>SUM(E88:E98)</f>
        <v>0</v>
      </c>
      <c r="F99" s="176">
        <v>0</v>
      </c>
      <c r="G99" s="245">
        <v>0</v>
      </c>
      <c r="H99" s="246">
        <v>0</v>
      </c>
    </row>
    <row r="100" spans="1:8" ht="15.75" thickTop="1" x14ac:dyDescent="0.2">
      <c r="A100" s="167"/>
      <c r="B100" s="168"/>
      <c r="C100" s="226"/>
      <c r="D100" s="226"/>
      <c r="E100" s="226"/>
      <c r="F100" s="166"/>
      <c r="G100" s="241"/>
      <c r="H100" s="242"/>
    </row>
    <row r="101" spans="1:8" ht="15.75" x14ac:dyDescent="0.25">
      <c r="A101" s="164" t="s">
        <v>69</v>
      </c>
      <c r="B101" s="165">
        <f>DATE(22,7,1)</f>
        <v>8218</v>
      </c>
      <c r="C101" s="226">
        <v>0</v>
      </c>
      <c r="D101" s="226">
        <v>0</v>
      </c>
      <c r="E101" s="226">
        <v>0</v>
      </c>
      <c r="F101" s="166">
        <v>0</v>
      </c>
      <c r="G101" s="241">
        <v>0</v>
      </c>
      <c r="H101" s="242">
        <v>0</v>
      </c>
    </row>
    <row r="102" spans="1:8" ht="15.75" x14ac:dyDescent="0.25">
      <c r="A102" s="164"/>
      <c r="B102" s="165">
        <f>DATE(22,8,1)</f>
        <v>8249</v>
      </c>
      <c r="C102" s="226">
        <v>0</v>
      </c>
      <c r="D102" s="226">
        <v>0</v>
      </c>
      <c r="E102" s="226">
        <v>0</v>
      </c>
      <c r="F102" s="166">
        <v>0</v>
      </c>
      <c r="G102" s="241">
        <v>0</v>
      </c>
      <c r="H102" s="242">
        <v>0</v>
      </c>
    </row>
    <row r="103" spans="1:8" ht="15.75" x14ac:dyDescent="0.25">
      <c r="A103" s="164"/>
      <c r="B103" s="165">
        <f>DATE(22,9,1)</f>
        <v>8280</v>
      </c>
      <c r="C103" s="226">
        <v>0</v>
      </c>
      <c r="D103" s="226">
        <v>0</v>
      </c>
      <c r="E103" s="226">
        <v>0</v>
      </c>
      <c r="F103" s="166">
        <v>0</v>
      </c>
      <c r="G103" s="241">
        <v>0</v>
      </c>
      <c r="H103" s="242">
        <v>0</v>
      </c>
    </row>
    <row r="104" spans="1:8" ht="15.75" x14ac:dyDescent="0.25">
      <c r="A104" s="164"/>
      <c r="B104" s="165">
        <f>DATE(22,10,1)</f>
        <v>8310</v>
      </c>
      <c r="C104" s="226">
        <v>0</v>
      </c>
      <c r="D104" s="226">
        <v>0</v>
      </c>
      <c r="E104" s="226">
        <v>0</v>
      </c>
      <c r="F104" s="166">
        <v>0</v>
      </c>
      <c r="G104" s="241">
        <v>0</v>
      </c>
      <c r="H104" s="242">
        <v>0</v>
      </c>
    </row>
    <row r="105" spans="1:8" ht="15.75" x14ac:dyDescent="0.25">
      <c r="A105" s="164"/>
      <c r="B105" s="165">
        <f>DATE(22,11,1)</f>
        <v>8341</v>
      </c>
      <c r="C105" s="226">
        <v>0</v>
      </c>
      <c r="D105" s="226">
        <v>0</v>
      </c>
      <c r="E105" s="226">
        <v>0</v>
      </c>
      <c r="F105" s="166">
        <v>0</v>
      </c>
      <c r="G105" s="241">
        <v>0</v>
      </c>
      <c r="H105" s="242">
        <v>0</v>
      </c>
    </row>
    <row r="106" spans="1:8" ht="15.75" x14ac:dyDescent="0.25">
      <c r="A106" s="164"/>
      <c r="B106" s="165">
        <f>DATE(22,12,1)</f>
        <v>8371</v>
      </c>
      <c r="C106" s="226">
        <v>0</v>
      </c>
      <c r="D106" s="226">
        <v>0</v>
      </c>
      <c r="E106" s="226">
        <v>0</v>
      </c>
      <c r="F106" s="166">
        <v>0</v>
      </c>
      <c r="G106" s="241">
        <v>0</v>
      </c>
      <c r="H106" s="242">
        <v>0</v>
      </c>
    </row>
    <row r="107" spans="1:8" ht="15.75" x14ac:dyDescent="0.25">
      <c r="A107" s="164"/>
      <c r="B107" s="165">
        <f>DATE(23,1,1)</f>
        <v>8402</v>
      </c>
      <c r="C107" s="226">
        <v>0</v>
      </c>
      <c r="D107" s="226">
        <v>0</v>
      </c>
      <c r="E107" s="226">
        <v>0</v>
      </c>
      <c r="F107" s="166">
        <v>0</v>
      </c>
      <c r="G107" s="241">
        <v>0</v>
      </c>
      <c r="H107" s="242">
        <v>0</v>
      </c>
    </row>
    <row r="108" spans="1:8" ht="15.75" x14ac:dyDescent="0.25">
      <c r="A108" s="164"/>
      <c r="B108" s="165">
        <f>DATE(23,2,1)</f>
        <v>8433</v>
      </c>
      <c r="C108" s="226">
        <v>0</v>
      </c>
      <c r="D108" s="226">
        <v>0</v>
      </c>
      <c r="E108" s="226">
        <v>0</v>
      </c>
      <c r="F108" s="166">
        <v>0</v>
      </c>
      <c r="G108" s="241">
        <v>0</v>
      </c>
      <c r="H108" s="242">
        <v>0</v>
      </c>
    </row>
    <row r="109" spans="1:8" ht="15.75" x14ac:dyDescent="0.25">
      <c r="A109" s="164"/>
      <c r="B109" s="165">
        <f>DATE(23,3,1)</f>
        <v>8461</v>
      </c>
      <c r="C109" s="226">
        <v>0</v>
      </c>
      <c r="D109" s="226">
        <v>0</v>
      </c>
      <c r="E109" s="226">
        <v>0</v>
      </c>
      <c r="F109" s="166">
        <v>0</v>
      </c>
      <c r="G109" s="241">
        <v>0</v>
      </c>
      <c r="H109" s="242">
        <v>0</v>
      </c>
    </row>
    <row r="110" spans="1:8" ht="15.75" x14ac:dyDescent="0.25">
      <c r="A110" s="164"/>
      <c r="B110" s="165">
        <f>DATE(23,4,1)</f>
        <v>8492</v>
      </c>
      <c r="C110" s="226">
        <v>0</v>
      </c>
      <c r="D110" s="226">
        <v>0</v>
      </c>
      <c r="E110" s="226">
        <v>0</v>
      </c>
      <c r="F110" s="166">
        <v>0</v>
      </c>
      <c r="G110" s="241">
        <v>0</v>
      </c>
      <c r="H110" s="242">
        <v>0</v>
      </c>
    </row>
    <row r="111" spans="1:8" ht="15.75" thickBot="1" x14ac:dyDescent="0.25">
      <c r="A111" s="167"/>
      <c r="B111" s="165"/>
      <c r="C111" s="226"/>
      <c r="D111" s="226"/>
      <c r="E111" s="226"/>
      <c r="F111" s="166"/>
      <c r="G111" s="241"/>
      <c r="H111" s="242"/>
    </row>
    <row r="112" spans="1:8" ht="17.25" thickTop="1" thickBot="1" x14ac:dyDescent="0.3">
      <c r="A112" s="174" t="s">
        <v>14</v>
      </c>
      <c r="B112" s="175"/>
      <c r="C112" s="228">
        <f>SUM(C101:C111)</f>
        <v>0</v>
      </c>
      <c r="D112" s="230">
        <f>SUM(D101:D111)</f>
        <v>0</v>
      </c>
      <c r="E112" s="271">
        <f>SUM(E101:E111)</f>
        <v>0</v>
      </c>
      <c r="F112" s="176">
        <v>0</v>
      </c>
      <c r="G112" s="249">
        <v>0</v>
      </c>
      <c r="H112" s="270">
        <v>0</v>
      </c>
    </row>
    <row r="113" spans="1:8" ht="15.75" thickTop="1" x14ac:dyDescent="0.2">
      <c r="A113" s="167"/>
      <c r="B113" s="179"/>
      <c r="C113" s="229"/>
      <c r="D113" s="229"/>
      <c r="E113" s="229"/>
      <c r="F113" s="180"/>
      <c r="G113" s="247"/>
      <c r="H113" s="248"/>
    </row>
    <row r="114" spans="1:8" ht="15.75" x14ac:dyDescent="0.25">
      <c r="A114" s="164" t="s">
        <v>16</v>
      </c>
      <c r="B114" s="165">
        <f>DATE(22,7,1)</f>
        <v>8218</v>
      </c>
      <c r="C114" s="226">
        <v>0</v>
      </c>
      <c r="D114" s="226">
        <v>0</v>
      </c>
      <c r="E114" s="226">
        <v>0</v>
      </c>
      <c r="F114" s="166">
        <v>0</v>
      </c>
      <c r="G114" s="241">
        <v>0</v>
      </c>
      <c r="H114" s="242">
        <v>0</v>
      </c>
    </row>
    <row r="115" spans="1:8" ht="15.75" x14ac:dyDescent="0.25">
      <c r="A115" s="164"/>
      <c r="B115" s="165">
        <f>DATE(22,8,1)</f>
        <v>8249</v>
      </c>
      <c r="C115" s="226">
        <v>0</v>
      </c>
      <c r="D115" s="226">
        <v>0</v>
      </c>
      <c r="E115" s="226">
        <v>0</v>
      </c>
      <c r="F115" s="166">
        <v>0</v>
      </c>
      <c r="G115" s="241">
        <v>0</v>
      </c>
      <c r="H115" s="242">
        <v>0</v>
      </c>
    </row>
    <row r="116" spans="1:8" ht="15.75" x14ac:dyDescent="0.25">
      <c r="A116" s="164"/>
      <c r="B116" s="165">
        <f>DATE(22,9,1)</f>
        <v>8280</v>
      </c>
      <c r="C116" s="226">
        <v>0</v>
      </c>
      <c r="D116" s="226">
        <v>0</v>
      </c>
      <c r="E116" s="226">
        <v>0</v>
      </c>
      <c r="F116" s="166">
        <v>0</v>
      </c>
      <c r="G116" s="241">
        <v>0</v>
      </c>
      <c r="H116" s="242">
        <v>0</v>
      </c>
    </row>
    <row r="117" spans="1:8" ht="15.75" x14ac:dyDescent="0.25">
      <c r="A117" s="164"/>
      <c r="B117" s="165">
        <f>DATE(22,10,1)</f>
        <v>8310</v>
      </c>
      <c r="C117" s="226">
        <v>0</v>
      </c>
      <c r="D117" s="226">
        <v>0</v>
      </c>
      <c r="E117" s="226">
        <v>0</v>
      </c>
      <c r="F117" s="166">
        <v>0</v>
      </c>
      <c r="G117" s="241">
        <v>0</v>
      </c>
      <c r="H117" s="242">
        <v>0</v>
      </c>
    </row>
    <row r="118" spans="1:8" ht="15.75" x14ac:dyDescent="0.25">
      <c r="A118" s="164"/>
      <c r="B118" s="165">
        <f>DATE(22,11,1)</f>
        <v>8341</v>
      </c>
      <c r="C118" s="226">
        <v>0</v>
      </c>
      <c r="D118" s="226">
        <v>0</v>
      </c>
      <c r="E118" s="226">
        <v>0</v>
      </c>
      <c r="F118" s="166">
        <v>0</v>
      </c>
      <c r="G118" s="241">
        <v>0</v>
      </c>
      <c r="H118" s="242">
        <v>0</v>
      </c>
    </row>
    <row r="119" spans="1:8" ht="15.75" x14ac:dyDescent="0.25">
      <c r="A119" s="164"/>
      <c r="B119" s="165">
        <f>DATE(22,12,1)</f>
        <v>8371</v>
      </c>
      <c r="C119" s="226">
        <v>0</v>
      </c>
      <c r="D119" s="226">
        <v>0</v>
      </c>
      <c r="E119" s="226">
        <v>0</v>
      </c>
      <c r="F119" s="166">
        <v>0</v>
      </c>
      <c r="G119" s="241">
        <v>0</v>
      </c>
      <c r="H119" s="242">
        <v>0</v>
      </c>
    </row>
    <row r="120" spans="1:8" ht="15.75" x14ac:dyDescent="0.25">
      <c r="A120" s="164"/>
      <c r="B120" s="165">
        <f>DATE(23,1,1)</f>
        <v>8402</v>
      </c>
      <c r="C120" s="226">
        <v>0</v>
      </c>
      <c r="D120" s="226">
        <v>0</v>
      </c>
      <c r="E120" s="226">
        <v>0</v>
      </c>
      <c r="F120" s="166">
        <v>0</v>
      </c>
      <c r="G120" s="241">
        <v>0</v>
      </c>
      <c r="H120" s="242">
        <v>0</v>
      </c>
    </row>
    <row r="121" spans="1:8" ht="15.75" x14ac:dyDescent="0.25">
      <c r="A121" s="164"/>
      <c r="B121" s="165">
        <f>DATE(23,2,1)</f>
        <v>8433</v>
      </c>
      <c r="C121" s="226">
        <v>0</v>
      </c>
      <c r="D121" s="226">
        <v>0</v>
      </c>
      <c r="E121" s="226">
        <v>0</v>
      </c>
      <c r="F121" s="166">
        <v>0</v>
      </c>
      <c r="G121" s="241">
        <v>0</v>
      </c>
      <c r="H121" s="242">
        <v>0</v>
      </c>
    </row>
    <row r="122" spans="1:8" ht="15.75" x14ac:dyDescent="0.25">
      <c r="A122" s="164"/>
      <c r="B122" s="165">
        <f>DATE(23,3,1)</f>
        <v>8461</v>
      </c>
      <c r="C122" s="226">
        <v>0</v>
      </c>
      <c r="D122" s="226">
        <v>0</v>
      </c>
      <c r="E122" s="226">
        <v>0</v>
      </c>
      <c r="F122" s="166">
        <v>0</v>
      </c>
      <c r="G122" s="241">
        <v>0</v>
      </c>
      <c r="H122" s="242">
        <v>0</v>
      </c>
    </row>
    <row r="123" spans="1:8" ht="15.75" x14ac:dyDescent="0.25">
      <c r="A123" s="164"/>
      <c r="B123" s="165">
        <f>DATE(23,4,1)</f>
        <v>8492</v>
      </c>
      <c r="C123" s="226">
        <v>0</v>
      </c>
      <c r="D123" s="226">
        <v>0</v>
      </c>
      <c r="E123" s="226">
        <v>0</v>
      </c>
      <c r="F123" s="166">
        <v>0</v>
      </c>
      <c r="G123" s="241">
        <v>0</v>
      </c>
      <c r="H123" s="242">
        <v>0</v>
      </c>
    </row>
    <row r="124" spans="1:8" ht="16.5" thickBot="1" x14ac:dyDescent="0.3">
      <c r="A124" s="164"/>
      <c r="B124" s="165"/>
      <c r="C124" s="226"/>
      <c r="D124" s="226"/>
      <c r="E124" s="226"/>
      <c r="F124" s="166"/>
      <c r="G124" s="241"/>
      <c r="H124" s="242"/>
    </row>
    <row r="125" spans="1:8" ht="17.25" thickTop="1" thickBot="1" x14ac:dyDescent="0.3">
      <c r="A125" s="174" t="s">
        <v>14</v>
      </c>
      <c r="B125" s="181"/>
      <c r="C125" s="228">
        <f>SUM(C114:C124)</f>
        <v>0</v>
      </c>
      <c r="D125" s="228">
        <f>SUM(D114:D124)</f>
        <v>0</v>
      </c>
      <c r="E125" s="228">
        <f>SUM(E114:E124)</f>
        <v>0</v>
      </c>
      <c r="F125" s="176">
        <v>0</v>
      </c>
      <c r="G125" s="245">
        <v>0</v>
      </c>
      <c r="H125" s="246">
        <v>0</v>
      </c>
    </row>
    <row r="126" spans="1:8" ht="15.75" thickTop="1" x14ac:dyDescent="0.2">
      <c r="A126" s="171"/>
      <c r="B126" s="172"/>
      <c r="C126" s="227"/>
      <c r="D126" s="227"/>
      <c r="E126" s="227"/>
      <c r="F126" s="173"/>
      <c r="G126" s="243"/>
      <c r="H126" s="244"/>
    </row>
    <row r="127" spans="1:8" ht="15.75" x14ac:dyDescent="0.25">
      <c r="A127" s="164" t="s">
        <v>53</v>
      </c>
      <c r="B127" s="165">
        <f>DATE(22,7,1)</f>
        <v>8218</v>
      </c>
      <c r="C127" s="226">
        <v>0</v>
      </c>
      <c r="D127" s="226">
        <v>0</v>
      </c>
      <c r="E127" s="226">
        <v>0</v>
      </c>
      <c r="F127" s="166">
        <v>0</v>
      </c>
      <c r="G127" s="241">
        <v>0</v>
      </c>
      <c r="H127" s="242">
        <v>0</v>
      </c>
    </row>
    <row r="128" spans="1:8" ht="15.75" x14ac:dyDescent="0.25">
      <c r="A128" s="164"/>
      <c r="B128" s="165">
        <f>DATE(22,8,1)</f>
        <v>8249</v>
      </c>
      <c r="C128" s="226">
        <v>0</v>
      </c>
      <c r="D128" s="226">
        <v>0</v>
      </c>
      <c r="E128" s="226">
        <v>0</v>
      </c>
      <c r="F128" s="166">
        <v>0</v>
      </c>
      <c r="G128" s="241">
        <v>0</v>
      </c>
      <c r="H128" s="242">
        <v>0</v>
      </c>
    </row>
    <row r="129" spans="1:8" ht="15.75" x14ac:dyDescent="0.25">
      <c r="A129" s="164"/>
      <c r="B129" s="165">
        <f>DATE(22,9,1)</f>
        <v>8280</v>
      </c>
      <c r="C129" s="226">
        <v>0</v>
      </c>
      <c r="D129" s="226">
        <v>0</v>
      </c>
      <c r="E129" s="226">
        <v>0</v>
      </c>
      <c r="F129" s="166">
        <v>0</v>
      </c>
      <c r="G129" s="241">
        <v>0</v>
      </c>
      <c r="H129" s="242">
        <v>0</v>
      </c>
    </row>
    <row r="130" spans="1:8" ht="15.75" x14ac:dyDescent="0.25">
      <c r="A130" s="164"/>
      <c r="B130" s="165">
        <f>DATE(22,10,1)</f>
        <v>8310</v>
      </c>
      <c r="C130" s="226">
        <v>0</v>
      </c>
      <c r="D130" s="226">
        <v>0</v>
      </c>
      <c r="E130" s="226">
        <v>0</v>
      </c>
      <c r="F130" s="166">
        <v>0</v>
      </c>
      <c r="G130" s="241">
        <v>0</v>
      </c>
      <c r="H130" s="242">
        <v>0</v>
      </c>
    </row>
    <row r="131" spans="1:8" ht="15.75" x14ac:dyDescent="0.25">
      <c r="A131" s="164"/>
      <c r="B131" s="165">
        <f>DATE(22,11,1)</f>
        <v>8341</v>
      </c>
      <c r="C131" s="226">
        <v>0</v>
      </c>
      <c r="D131" s="226">
        <v>0</v>
      </c>
      <c r="E131" s="226">
        <v>0</v>
      </c>
      <c r="F131" s="166">
        <v>0</v>
      </c>
      <c r="G131" s="241">
        <v>0</v>
      </c>
      <c r="H131" s="242">
        <v>0</v>
      </c>
    </row>
    <row r="132" spans="1:8" ht="15.75" x14ac:dyDescent="0.25">
      <c r="A132" s="164"/>
      <c r="B132" s="165">
        <f>DATE(22,12,1)</f>
        <v>8371</v>
      </c>
      <c r="C132" s="226">
        <v>0</v>
      </c>
      <c r="D132" s="226">
        <v>0</v>
      </c>
      <c r="E132" s="226">
        <v>0</v>
      </c>
      <c r="F132" s="166">
        <v>0</v>
      </c>
      <c r="G132" s="241">
        <v>0</v>
      </c>
      <c r="H132" s="242">
        <v>0</v>
      </c>
    </row>
    <row r="133" spans="1:8" ht="15.75" x14ac:dyDescent="0.25">
      <c r="A133" s="164"/>
      <c r="B133" s="165">
        <f>DATE(23,1,1)</f>
        <v>8402</v>
      </c>
      <c r="C133" s="226">
        <v>0</v>
      </c>
      <c r="D133" s="226">
        <v>0</v>
      </c>
      <c r="E133" s="226">
        <v>0</v>
      </c>
      <c r="F133" s="166">
        <v>0</v>
      </c>
      <c r="G133" s="241">
        <v>0</v>
      </c>
      <c r="H133" s="242">
        <v>0</v>
      </c>
    </row>
    <row r="134" spans="1:8" ht="15.75" x14ac:dyDescent="0.25">
      <c r="A134" s="164"/>
      <c r="B134" s="165">
        <f>DATE(23,2,1)</f>
        <v>8433</v>
      </c>
      <c r="C134" s="226">
        <v>0</v>
      </c>
      <c r="D134" s="226">
        <v>0</v>
      </c>
      <c r="E134" s="226">
        <v>0</v>
      </c>
      <c r="F134" s="166">
        <v>0</v>
      </c>
      <c r="G134" s="241">
        <v>0</v>
      </c>
      <c r="H134" s="242">
        <v>0</v>
      </c>
    </row>
    <row r="135" spans="1:8" ht="15.75" x14ac:dyDescent="0.25">
      <c r="A135" s="164"/>
      <c r="B135" s="165">
        <f>DATE(23,3,1)</f>
        <v>8461</v>
      </c>
      <c r="C135" s="226">
        <v>0</v>
      </c>
      <c r="D135" s="226">
        <v>0</v>
      </c>
      <c r="E135" s="226">
        <v>0</v>
      </c>
      <c r="F135" s="166">
        <v>0</v>
      </c>
      <c r="G135" s="241">
        <v>0</v>
      </c>
      <c r="H135" s="242">
        <v>0</v>
      </c>
    </row>
    <row r="136" spans="1:8" ht="15.75" x14ac:dyDescent="0.25">
      <c r="A136" s="164"/>
      <c r="B136" s="165">
        <f>DATE(23,4,1)</f>
        <v>8492</v>
      </c>
      <c r="C136" s="226">
        <v>0</v>
      </c>
      <c r="D136" s="226">
        <v>0</v>
      </c>
      <c r="E136" s="226">
        <v>0</v>
      </c>
      <c r="F136" s="166">
        <v>0</v>
      </c>
      <c r="G136" s="241">
        <v>0</v>
      </c>
      <c r="H136" s="242">
        <v>0</v>
      </c>
    </row>
    <row r="137" spans="1:8" ht="15.75" thickBot="1" x14ac:dyDescent="0.25">
      <c r="A137" s="167"/>
      <c r="B137" s="168"/>
      <c r="C137" s="226"/>
      <c r="D137" s="226"/>
      <c r="E137" s="226"/>
      <c r="F137" s="166"/>
      <c r="G137" s="241"/>
      <c r="H137" s="242"/>
    </row>
    <row r="138" spans="1:8" ht="17.25" thickTop="1" thickBot="1" x14ac:dyDescent="0.3">
      <c r="A138" s="174" t="s">
        <v>14</v>
      </c>
      <c r="B138" s="175"/>
      <c r="C138" s="228">
        <f>SUM(C127:C137)</f>
        <v>0</v>
      </c>
      <c r="D138" s="228">
        <f>SUM(D127:D137)</f>
        <v>0</v>
      </c>
      <c r="E138" s="228">
        <f>SUM(E127:E137)</f>
        <v>0</v>
      </c>
      <c r="F138" s="176">
        <v>0</v>
      </c>
      <c r="G138" s="245">
        <v>0</v>
      </c>
      <c r="H138" s="246">
        <v>0</v>
      </c>
    </row>
    <row r="139" spans="1:8" ht="15.75" thickTop="1" x14ac:dyDescent="0.2">
      <c r="A139" s="167"/>
      <c r="B139" s="168"/>
      <c r="C139" s="226"/>
      <c r="D139" s="226"/>
      <c r="E139" s="226"/>
      <c r="F139" s="166"/>
      <c r="G139" s="241"/>
      <c r="H139" s="242"/>
    </row>
    <row r="140" spans="1:8" ht="15.75" x14ac:dyDescent="0.25">
      <c r="A140" s="164" t="s">
        <v>54</v>
      </c>
      <c r="B140" s="165">
        <f>DATE(22,7,1)</f>
        <v>8218</v>
      </c>
      <c r="C140" s="226">
        <v>0</v>
      </c>
      <c r="D140" s="226">
        <v>0</v>
      </c>
      <c r="E140" s="226">
        <v>0</v>
      </c>
      <c r="F140" s="166">
        <v>0</v>
      </c>
      <c r="G140" s="241">
        <v>0</v>
      </c>
      <c r="H140" s="242">
        <v>0</v>
      </c>
    </row>
    <row r="141" spans="1:8" ht="15.75" x14ac:dyDescent="0.25">
      <c r="A141" s="164"/>
      <c r="B141" s="165">
        <f>DATE(22,8,1)</f>
        <v>8249</v>
      </c>
      <c r="C141" s="226">
        <v>0</v>
      </c>
      <c r="D141" s="226">
        <v>0</v>
      </c>
      <c r="E141" s="226">
        <v>0</v>
      </c>
      <c r="F141" s="166">
        <v>0</v>
      </c>
      <c r="G141" s="241">
        <v>0</v>
      </c>
      <c r="H141" s="242">
        <v>0</v>
      </c>
    </row>
    <row r="142" spans="1:8" ht="15.75" x14ac:dyDescent="0.25">
      <c r="A142" s="164"/>
      <c r="B142" s="165">
        <f>DATE(22,9,1)</f>
        <v>8280</v>
      </c>
      <c r="C142" s="226">
        <v>0</v>
      </c>
      <c r="D142" s="226">
        <v>0</v>
      </c>
      <c r="E142" s="226">
        <v>0</v>
      </c>
      <c r="F142" s="166">
        <v>0</v>
      </c>
      <c r="G142" s="241">
        <v>0</v>
      </c>
      <c r="H142" s="242">
        <v>0</v>
      </c>
    </row>
    <row r="143" spans="1:8" ht="15.75" x14ac:dyDescent="0.25">
      <c r="A143" s="164"/>
      <c r="B143" s="165">
        <f>DATE(22,10,1)</f>
        <v>8310</v>
      </c>
      <c r="C143" s="226">
        <v>0</v>
      </c>
      <c r="D143" s="226">
        <v>0</v>
      </c>
      <c r="E143" s="226">
        <v>0</v>
      </c>
      <c r="F143" s="166">
        <v>0</v>
      </c>
      <c r="G143" s="241">
        <v>0</v>
      </c>
      <c r="H143" s="242">
        <v>0</v>
      </c>
    </row>
    <row r="144" spans="1:8" ht="15.75" x14ac:dyDescent="0.25">
      <c r="A144" s="164"/>
      <c r="B144" s="165">
        <f>DATE(22,11,1)</f>
        <v>8341</v>
      </c>
      <c r="C144" s="226">
        <v>0</v>
      </c>
      <c r="D144" s="226">
        <v>0</v>
      </c>
      <c r="E144" s="226">
        <v>0</v>
      </c>
      <c r="F144" s="166">
        <v>0</v>
      </c>
      <c r="G144" s="241">
        <v>0</v>
      </c>
      <c r="H144" s="242">
        <v>0</v>
      </c>
    </row>
    <row r="145" spans="1:8" ht="15.75" x14ac:dyDescent="0.25">
      <c r="A145" s="164"/>
      <c r="B145" s="165">
        <f>DATE(22,12,1)</f>
        <v>8371</v>
      </c>
      <c r="C145" s="226">
        <v>0</v>
      </c>
      <c r="D145" s="226">
        <v>0</v>
      </c>
      <c r="E145" s="226">
        <v>0</v>
      </c>
      <c r="F145" s="166">
        <v>0</v>
      </c>
      <c r="G145" s="241">
        <v>0</v>
      </c>
      <c r="H145" s="242">
        <v>0</v>
      </c>
    </row>
    <row r="146" spans="1:8" ht="15.75" x14ac:dyDescent="0.25">
      <c r="A146" s="164"/>
      <c r="B146" s="165">
        <f>DATE(23,1,1)</f>
        <v>8402</v>
      </c>
      <c r="C146" s="226">
        <v>0</v>
      </c>
      <c r="D146" s="226">
        <v>0</v>
      </c>
      <c r="E146" s="226">
        <v>0</v>
      </c>
      <c r="F146" s="166">
        <v>0</v>
      </c>
      <c r="G146" s="241">
        <v>0</v>
      </c>
      <c r="H146" s="242">
        <v>0</v>
      </c>
    </row>
    <row r="147" spans="1:8" ht="15.75" x14ac:dyDescent="0.25">
      <c r="A147" s="164"/>
      <c r="B147" s="165">
        <f>DATE(23,2,1)</f>
        <v>8433</v>
      </c>
      <c r="C147" s="226">
        <v>0</v>
      </c>
      <c r="D147" s="226">
        <v>0</v>
      </c>
      <c r="E147" s="226">
        <v>0</v>
      </c>
      <c r="F147" s="166">
        <v>0</v>
      </c>
      <c r="G147" s="241">
        <v>0</v>
      </c>
      <c r="H147" s="242">
        <v>0</v>
      </c>
    </row>
    <row r="148" spans="1:8" ht="15.75" x14ac:dyDescent="0.25">
      <c r="A148" s="164"/>
      <c r="B148" s="165">
        <f>DATE(23,3,1)</f>
        <v>8461</v>
      </c>
      <c r="C148" s="226">
        <v>0</v>
      </c>
      <c r="D148" s="226">
        <v>0</v>
      </c>
      <c r="E148" s="226">
        <v>0</v>
      </c>
      <c r="F148" s="166">
        <v>0</v>
      </c>
      <c r="G148" s="241">
        <v>0</v>
      </c>
      <c r="H148" s="242">
        <v>0</v>
      </c>
    </row>
    <row r="149" spans="1:8" ht="15.75" x14ac:dyDescent="0.25">
      <c r="A149" s="164"/>
      <c r="B149" s="165">
        <f>DATE(23,4,1)</f>
        <v>8492</v>
      </c>
      <c r="C149" s="226">
        <v>0</v>
      </c>
      <c r="D149" s="226">
        <v>0</v>
      </c>
      <c r="E149" s="226">
        <v>0</v>
      </c>
      <c r="F149" s="166">
        <v>0</v>
      </c>
      <c r="G149" s="241">
        <v>0</v>
      </c>
      <c r="H149" s="242">
        <v>0</v>
      </c>
    </row>
    <row r="150" spans="1:8" ht="15.75" thickBot="1" x14ac:dyDescent="0.25">
      <c r="A150" s="167"/>
      <c r="B150" s="168"/>
      <c r="C150" s="226"/>
      <c r="D150" s="226"/>
      <c r="E150" s="226"/>
      <c r="F150" s="166"/>
      <c r="G150" s="241"/>
      <c r="H150" s="242"/>
    </row>
    <row r="151" spans="1:8" ht="17.25" thickTop="1" thickBot="1" x14ac:dyDescent="0.3">
      <c r="A151" s="182" t="s">
        <v>14</v>
      </c>
      <c r="B151" s="183"/>
      <c r="C151" s="230">
        <f>SUM(C140:C150)</f>
        <v>0</v>
      </c>
      <c r="D151" s="230">
        <f>SUM(D140:D150)</f>
        <v>0</v>
      </c>
      <c r="E151" s="230">
        <f>SUM(E140:E150)</f>
        <v>0</v>
      </c>
      <c r="F151" s="176">
        <v>0</v>
      </c>
      <c r="G151" s="245">
        <v>0</v>
      </c>
      <c r="H151" s="246">
        <v>0</v>
      </c>
    </row>
    <row r="152" spans="1:8" ht="15.75" thickTop="1" x14ac:dyDescent="0.2">
      <c r="A152" s="167"/>
      <c r="B152" s="168"/>
      <c r="C152" s="226"/>
      <c r="D152" s="226"/>
      <c r="E152" s="226"/>
      <c r="F152" s="166"/>
      <c r="G152" s="241"/>
      <c r="H152" s="242"/>
    </row>
    <row r="153" spans="1:8" ht="15.75" x14ac:dyDescent="0.25">
      <c r="A153" s="164" t="s">
        <v>37</v>
      </c>
      <c r="B153" s="165">
        <f>DATE(22,7,1)</f>
        <v>8218</v>
      </c>
      <c r="C153" s="226">
        <v>5095922.6399999997</v>
      </c>
      <c r="D153" s="226">
        <v>215844.68</v>
      </c>
      <c r="E153" s="226">
        <v>209181.95</v>
      </c>
      <c r="F153" s="166">
        <f t="shared" ref="F153:F162" si="2">+(D153-E153)/E153</f>
        <v>3.1851361936342887E-2</v>
      </c>
      <c r="G153" s="241">
        <f t="shared" ref="G153:G162" si="3">+D153/C153</f>
        <v>4.2356349428412834E-2</v>
      </c>
      <c r="H153" s="289">
        <f t="shared" ref="H153:H162" si="4">1-G153</f>
        <v>0.95764365057158718</v>
      </c>
    </row>
    <row r="154" spans="1:8" ht="15.75" x14ac:dyDescent="0.25">
      <c r="A154" s="164"/>
      <c r="B154" s="165">
        <f>DATE(22,8,1)</f>
        <v>8249</v>
      </c>
      <c r="C154" s="226">
        <v>4684772.5</v>
      </c>
      <c r="D154" s="226">
        <v>222475.66</v>
      </c>
      <c r="E154" s="226">
        <v>126701.54</v>
      </c>
      <c r="F154" s="166">
        <f t="shared" si="2"/>
        <v>0.75590336155345872</v>
      </c>
      <c r="G154" s="241">
        <f t="shared" si="3"/>
        <v>4.7489106461413015E-2</v>
      </c>
      <c r="H154" s="289">
        <f t="shared" si="4"/>
        <v>0.95251089353858698</v>
      </c>
    </row>
    <row r="155" spans="1:8" ht="15.75" x14ac:dyDescent="0.25">
      <c r="A155" s="164"/>
      <c r="B155" s="165">
        <f>DATE(22,9,1)</f>
        <v>8280</v>
      </c>
      <c r="C155" s="226">
        <v>4372547.5</v>
      </c>
      <c r="D155" s="226">
        <v>213180.35</v>
      </c>
      <c r="E155" s="226">
        <v>145306.89000000001</v>
      </c>
      <c r="F155" s="166">
        <f t="shared" si="2"/>
        <v>0.46710420958015125</v>
      </c>
      <c r="G155" s="241">
        <f t="shared" si="3"/>
        <v>4.8754267392178134E-2</v>
      </c>
      <c r="H155" s="289">
        <f t="shared" si="4"/>
        <v>0.95124573260782186</v>
      </c>
    </row>
    <row r="156" spans="1:8" ht="15.75" x14ac:dyDescent="0.25">
      <c r="A156" s="164"/>
      <c r="B156" s="165">
        <f>DATE(22,10,1)</f>
        <v>8310</v>
      </c>
      <c r="C156" s="226">
        <v>4954774</v>
      </c>
      <c r="D156" s="226">
        <v>197241.83</v>
      </c>
      <c r="E156" s="226">
        <v>179665.17</v>
      </c>
      <c r="F156" s="166">
        <f t="shared" si="2"/>
        <v>9.7830091386104351E-2</v>
      </c>
      <c r="G156" s="241">
        <f t="shared" si="3"/>
        <v>3.9808441313367672E-2</v>
      </c>
      <c r="H156" s="289">
        <f t="shared" si="4"/>
        <v>0.96019155868663231</v>
      </c>
    </row>
    <row r="157" spans="1:8" ht="15.75" x14ac:dyDescent="0.25">
      <c r="A157" s="164"/>
      <c r="B157" s="165">
        <f>DATE(22,11,1)</f>
        <v>8341</v>
      </c>
      <c r="C157" s="226">
        <v>3855288</v>
      </c>
      <c r="D157" s="226">
        <v>191836.78</v>
      </c>
      <c r="E157" s="226">
        <v>200635.43</v>
      </c>
      <c r="F157" s="166">
        <f t="shared" si="2"/>
        <v>-4.3853919519598279E-2</v>
      </c>
      <c r="G157" s="241">
        <f t="shared" si="3"/>
        <v>4.9759390219355853E-2</v>
      </c>
      <c r="H157" s="289">
        <f t="shared" si="4"/>
        <v>0.95024060978064417</v>
      </c>
    </row>
    <row r="158" spans="1:8" ht="15.75" x14ac:dyDescent="0.25">
      <c r="A158" s="164"/>
      <c r="B158" s="165">
        <f>DATE(22,12,1)</f>
        <v>8371</v>
      </c>
      <c r="C158" s="226">
        <v>4154017.5</v>
      </c>
      <c r="D158" s="226">
        <v>198418.76</v>
      </c>
      <c r="E158" s="226">
        <v>258639.24</v>
      </c>
      <c r="F158" s="166">
        <f t="shared" si="2"/>
        <v>-0.23283582181883919</v>
      </c>
      <c r="G158" s="241">
        <f t="shared" si="3"/>
        <v>4.7765508932015817E-2</v>
      </c>
      <c r="H158" s="289">
        <f t="shared" si="4"/>
        <v>0.95223449106798419</v>
      </c>
    </row>
    <row r="159" spans="1:8" ht="15.75" x14ac:dyDescent="0.25">
      <c r="A159" s="164"/>
      <c r="B159" s="165">
        <f>DATE(23,1,1)</f>
        <v>8402</v>
      </c>
      <c r="C159" s="226">
        <v>3997710</v>
      </c>
      <c r="D159" s="226">
        <v>161229.07</v>
      </c>
      <c r="E159" s="226">
        <v>255321.86</v>
      </c>
      <c r="F159" s="166">
        <f t="shared" si="2"/>
        <v>-0.36852618103283435</v>
      </c>
      <c r="G159" s="241">
        <f t="shared" si="3"/>
        <v>4.03303566291702E-2</v>
      </c>
      <c r="H159" s="289">
        <f t="shared" si="4"/>
        <v>0.95966964337082983</v>
      </c>
    </row>
    <row r="160" spans="1:8" ht="15.75" x14ac:dyDescent="0.25">
      <c r="A160" s="164"/>
      <c r="B160" s="165">
        <f>DATE(23,2,1)</f>
        <v>8433</v>
      </c>
      <c r="C160" s="226">
        <v>4393515.5</v>
      </c>
      <c r="D160" s="226">
        <v>159252.82</v>
      </c>
      <c r="E160" s="226">
        <v>283659.46000000002</v>
      </c>
      <c r="F160" s="166">
        <f t="shared" si="2"/>
        <v>-0.43857744071006832</v>
      </c>
      <c r="G160" s="241">
        <f t="shared" si="3"/>
        <v>3.6247242100318072E-2</v>
      </c>
      <c r="H160" s="289">
        <f t="shared" si="4"/>
        <v>0.96375275789968196</v>
      </c>
    </row>
    <row r="161" spans="1:8" ht="15.75" x14ac:dyDescent="0.25">
      <c r="A161" s="164"/>
      <c r="B161" s="165">
        <f>DATE(23,3,1)</f>
        <v>8461</v>
      </c>
      <c r="C161" s="226">
        <v>5520741</v>
      </c>
      <c r="D161" s="226">
        <v>210856.45</v>
      </c>
      <c r="E161" s="226">
        <v>172733.04</v>
      </c>
      <c r="F161" s="166">
        <f t="shared" si="2"/>
        <v>0.22070710965313875</v>
      </c>
      <c r="G161" s="241">
        <f t="shared" si="3"/>
        <v>3.8193505183452728E-2</v>
      </c>
      <c r="H161" s="289">
        <f t="shared" si="4"/>
        <v>0.96180649481654723</v>
      </c>
    </row>
    <row r="162" spans="1:8" ht="15.75" x14ac:dyDescent="0.25">
      <c r="A162" s="164"/>
      <c r="B162" s="165">
        <f>DATE(23,4,1)</f>
        <v>8492</v>
      </c>
      <c r="C162" s="226">
        <v>5008431.5</v>
      </c>
      <c r="D162" s="226">
        <v>191780.04</v>
      </c>
      <c r="E162" s="226">
        <v>178952.38</v>
      </c>
      <c r="F162" s="166">
        <f t="shared" si="2"/>
        <v>7.1681974835987108E-2</v>
      </c>
      <c r="G162" s="241">
        <f t="shared" si="3"/>
        <v>3.8291437149534743E-2</v>
      </c>
      <c r="H162" s="289">
        <f t="shared" si="4"/>
        <v>0.96170856285046524</v>
      </c>
    </row>
    <row r="163" spans="1:8" ht="15.75" thickBot="1" x14ac:dyDescent="0.25">
      <c r="A163" s="167"/>
      <c r="B163" s="168"/>
      <c r="C163" s="226"/>
      <c r="D163" s="226"/>
      <c r="E163" s="226"/>
      <c r="F163" s="166"/>
      <c r="G163" s="241"/>
      <c r="H163" s="242"/>
    </row>
    <row r="164" spans="1:8" ht="17.25" thickTop="1" thickBot="1" x14ac:dyDescent="0.3">
      <c r="A164" s="174" t="s">
        <v>14</v>
      </c>
      <c r="B164" s="175"/>
      <c r="C164" s="228">
        <f>SUM(C153:C163)</f>
        <v>46037720.140000001</v>
      </c>
      <c r="D164" s="228">
        <f>SUM(D153:D163)</f>
        <v>1962116.4400000002</v>
      </c>
      <c r="E164" s="228">
        <f>SUM(E153:E163)</f>
        <v>2010796.96</v>
      </c>
      <c r="F164" s="176">
        <f>+(D164-E164)/E164</f>
        <v>-2.4209565146746485E-2</v>
      </c>
      <c r="G164" s="245">
        <f>+D164/C164</f>
        <v>4.2619756887031637E-2</v>
      </c>
      <c r="H164" s="246">
        <f>1-G164</f>
        <v>0.95738024311296832</v>
      </c>
    </row>
    <row r="165" spans="1:8" ht="15.75" thickTop="1" x14ac:dyDescent="0.2">
      <c r="A165" s="167"/>
      <c r="B165" s="168"/>
      <c r="C165" s="226"/>
      <c r="D165" s="226"/>
      <c r="E165" s="226"/>
      <c r="F165" s="166"/>
      <c r="G165" s="241"/>
      <c r="H165" s="242"/>
    </row>
    <row r="166" spans="1:8" ht="15.75" x14ac:dyDescent="0.25">
      <c r="A166" s="164" t="s">
        <v>57</v>
      </c>
      <c r="B166" s="165">
        <f>DATE(22,7,1)</f>
        <v>8218</v>
      </c>
      <c r="C166" s="226">
        <v>0</v>
      </c>
      <c r="D166" s="226">
        <v>0</v>
      </c>
      <c r="E166" s="226">
        <v>0</v>
      </c>
      <c r="F166" s="166">
        <v>0</v>
      </c>
      <c r="G166" s="241">
        <v>0</v>
      </c>
      <c r="H166" s="242">
        <v>0</v>
      </c>
    </row>
    <row r="167" spans="1:8" ht="15.75" x14ac:dyDescent="0.25">
      <c r="A167" s="164"/>
      <c r="B167" s="165">
        <f>DATE(22,8,1)</f>
        <v>8249</v>
      </c>
      <c r="C167" s="226">
        <v>0</v>
      </c>
      <c r="D167" s="226">
        <v>0</v>
      </c>
      <c r="E167" s="226">
        <v>0</v>
      </c>
      <c r="F167" s="166">
        <v>0</v>
      </c>
      <c r="G167" s="241">
        <v>0</v>
      </c>
      <c r="H167" s="242">
        <v>0</v>
      </c>
    </row>
    <row r="168" spans="1:8" ht="15.75" x14ac:dyDescent="0.25">
      <c r="A168" s="164"/>
      <c r="B168" s="165">
        <f>DATE(22,9,1)</f>
        <v>8280</v>
      </c>
      <c r="C168" s="226">
        <v>0</v>
      </c>
      <c r="D168" s="226">
        <v>0</v>
      </c>
      <c r="E168" s="226">
        <v>0</v>
      </c>
      <c r="F168" s="166">
        <v>0</v>
      </c>
      <c r="G168" s="241">
        <v>0</v>
      </c>
      <c r="H168" s="242">
        <v>0</v>
      </c>
    </row>
    <row r="169" spans="1:8" ht="15.75" x14ac:dyDescent="0.25">
      <c r="A169" s="164"/>
      <c r="B169" s="165">
        <f>DATE(22,10,1)</f>
        <v>8310</v>
      </c>
      <c r="C169" s="226">
        <v>0</v>
      </c>
      <c r="D169" s="226">
        <v>0</v>
      </c>
      <c r="E169" s="226">
        <v>0</v>
      </c>
      <c r="F169" s="166">
        <v>0</v>
      </c>
      <c r="G169" s="241">
        <v>0</v>
      </c>
      <c r="H169" s="242">
        <v>0</v>
      </c>
    </row>
    <row r="170" spans="1:8" ht="15.75" x14ac:dyDescent="0.25">
      <c r="A170" s="164"/>
      <c r="B170" s="165">
        <f>DATE(22,11,1)</f>
        <v>8341</v>
      </c>
      <c r="C170" s="226">
        <v>0</v>
      </c>
      <c r="D170" s="226">
        <v>0</v>
      </c>
      <c r="E170" s="226">
        <v>0</v>
      </c>
      <c r="F170" s="166">
        <v>0</v>
      </c>
      <c r="G170" s="241">
        <v>0</v>
      </c>
      <c r="H170" s="242">
        <v>0</v>
      </c>
    </row>
    <row r="171" spans="1:8" ht="15.75" x14ac:dyDescent="0.25">
      <c r="A171" s="164"/>
      <c r="B171" s="165">
        <f>DATE(22,12,1)</f>
        <v>8371</v>
      </c>
      <c r="C171" s="226">
        <v>0</v>
      </c>
      <c r="D171" s="226">
        <v>0</v>
      </c>
      <c r="E171" s="226">
        <v>0</v>
      </c>
      <c r="F171" s="166">
        <v>0</v>
      </c>
      <c r="G171" s="241">
        <v>0</v>
      </c>
      <c r="H171" s="242">
        <v>0</v>
      </c>
    </row>
    <row r="172" spans="1:8" ht="15.75" x14ac:dyDescent="0.25">
      <c r="A172" s="164"/>
      <c r="B172" s="165">
        <f>DATE(23,1,1)</f>
        <v>8402</v>
      </c>
      <c r="C172" s="226">
        <v>0</v>
      </c>
      <c r="D172" s="226">
        <v>0</v>
      </c>
      <c r="E172" s="226">
        <v>0</v>
      </c>
      <c r="F172" s="166">
        <v>0</v>
      </c>
      <c r="G172" s="241">
        <v>0</v>
      </c>
      <c r="H172" s="242">
        <v>0</v>
      </c>
    </row>
    <row r="173" spans="1:8" ht="15.75" x14ac:dyDescent="0.25">
      <c r="A173" s="164"/>
      <c r="B173" s="165">
        <f>DATE(23,2,1)</f>
        <v>8433</v>
      </c>
      <c r="C173" s="226">
        <v>0</v>
      </c>
      <c r="D173" s="226">
        <v>0</v>
      </c>
      <c r="E173" s="226">
        <v>0</v>
      </c>
      <c r="F173" s="166">
        <v>0</v>
      </c>
      <c r="G173" s="241">
        <v>0</v>
      </c>
      <c r="H173" s="242">
        <v>0</v>
      </c>
    </row>
    <row r="174" spans="1:8" ht="15.75" x14ac:dyDescent="0.25">
      <c r="A174" s="164"/>
      <c r="B174" s="165">
        <f>DATE(23,3,1)</f>
        <v>8461</v>
      </c>
      <c r="C174" s="226">
        <v>0</v>
      </c>
      <c r="D174" s="226">
        <v>0</v>
      </c>
      <c r="E174" s="226">
        <v>0</v>
      </c>
      <c r="F174" s="166">
        <v>0</v>
      </c>
      <c r="G174" s="241">
        <v>0</v>
      </c>
      <c r="H174" s="242">
        <v>0</v>
      </c>
    </row>
    <row r="175" spans="1:8" ht="15.75" x14ac:dyDescent="0.25">
      <c r="A175" s="164"/>
      <c r="B175" s="165">
        <f>DATE(23,4,1)</f>
        <v>8492</v>
      </c>
      <c r="C175" s="226">
        <v>0</v>
      </c>
      <c r="D175" s="226">
        <v>0</v>
      </c>
      <c r="E175" s="226">
        <v>0</v>
      </c>
      <c r="F175" s="166">
        <v>0</v>
      </c>
      <c r="G175" s="241">
        <v>0</v>
      </c>
      <c r="H175" s="242">
        <v>0</v>
      </c>
    </row>
    <row r="176" spans="1:8" ht="15.75" thickBot="1" x14ac:dyDescent="0.25">
      <c r="A176" s="167"/>
      <c r="B176" s="168"/>
      <c r="C176" s="226"/>
      <c r="D176" s="226"/>
      <c r="E176" s="226"/>
      <c r="F176" s="166"/>
      <c r="G176" s="241"/>
      <c r="H176" s="242"/>
    </row>
    <row r="177" spans="1:8" ht="17.25" thickTop="1" thickBot="1" x14ac:dyDescent="0.3">
      <c r="A177" s="169" t="s">
        <v>14</v>
      </c>
      <c r="B177" s="155"/>
      <c r="C177" s="223">
        <f>SUM(C166:C176)</f>
        <v>0</v>
      </c>
      <c r="D177" s="223">
        <f>SUM(D166:D176)</f>
        <v>0</v>
      </c>
      <c r="E177" s="223">
        <f>SUM(E166:E176)</f>
        <v>0</v>
      </c>
      <c r="F177" s="176">
        <v>0</v>
      </c>
      <c r="G177" s="245">
        <v>0</v>
      </c>
      <c r="H177" s="246">
        <v>0</v>
      </c>
    </row>
    <row r="178" spans="1:8" ht="16.5" thickTop="1" thickBot="1" x14ac:dyDescent="0.25">
      <c r="A178" s="171"/>
      <c r="B178" s="172"/>
      <c r="C178" s="227"/>
      <c r="D178" s="227"/>
      <c r="E178" s="227"/>
      <c r="F178" s="173"/>
      <c r="G178" s="243"/>
      <c r="H178" s="244"/>
    </row>
    <row r="179" spans="1:8" ht="17.25" thickTop="1" thickBot="1" x14ac:dyDescent="0.3">
      <c r="A179" s="184" t="s">
        <v>38</v>
      </c>
      <c r="B179" s="155"/>
      <c r="C179" s="223">
        <f>C177+C164+C125+C99+C73+C47+C21+C60+C151+C34+C112+C138+C86</f>
        <v>75541759.349999994</v>
      </c>
      <c r="D179" s="223">
        <f>D177+D164+D125+D99+D73+D47+D21+D60+D151+D34+D112+D138+D86</f>
        <v>3327690.95</v>
      </c>
      <c r="E179" s="223">
        <f>E177+E164+E125+E99+E73+E47+E21+E60+E151+E34+E112+E138+E86</f>
        <v>2641513.25</v>
      </c>
      <c r="F179" s="176">
        <f>+(D179-E179)/E179</f>
        <v>0.25976689687246513</v>
      </c>
      <c r="G179" s="236">
        <f>D179/C179</f>
        <v>4.4051012031400355E-2</v>
      </c>
      <c r="H179" s="237">
        <f>1-G179</f>
        <v>0.95594898796859962</v>
      </c>
    </row>
    <row r="180" spans="1:8" ht="17.25" thickTop="1" thickBot="1" x14ac:dyDescent="0.3">
      <c r="A180" s="184"/>
      <c r="B180" s="155"/>
      <c r="C180" s="223"/>
      <c r="D180" s="223"/>
      <c r="E180" s="223"/>
      <c r="F180" s="170"/>
      <c r="G180" s="236"/>
      <c r="H180" s="237"/>
    </row>
    <row r="181" spans="1:8" ht="17.25" thickTop="1" thickBot="1" x14ac:dyDescent="0.3">
      <c r="A181" s="184" t="s">
        <v>39</v>
      </c>
      <c r="B181" s="155"/>
      <c r="C181" s="223">
        <f>+C19+C32+C45+C58+C71+C84+C97+C110+C123+C136+C149+C162+C175</f>
        <v>5008431.5</v>
      </c>
      <c r="D181" s="223">
        <f>+D19+D32+D45+D58+D71+D84+D97+D110+D123+D136+D149+D162+D175</f>
        <v>191780.04</v>
      </c>
      <c r="E181" s="223">
        <f>+E19+E32+E45+E58+E71+E84+E97+E110+E123+E136+E149+E162+E175</f>
        <v>275395.26</v>
      </c>
      <c r="F181" s="176">
        <f>+(D181-E181)/E181</f>
        <v>-0.30361895117584814</v>
      </c>
      <c r="G181" s="236">
        <f>D181/C181</f>
        <v>3.8291437149534743E-2</v>
      </c>
      <c r="H181" s="246">
        <f>1-G181</f>
        <v>0.96170856285046524</v>
      </c>
    </row>
    <row r="182" spans="1:8" ht="16.5" thickTop="1" x14ac:dyDescent="0.25">
      <c r="A182" s="185"/>
      <c r="B182" s="186"/>
      <c r="C182" s="231"/>
      <c r="D182" s="231"/>
      <c r="E182" s="231"/>
      <c r="F182" s="187"/>
      <c r="G182" s="250"/>
      <c r="H182" s="250"/>
    </row>
    <row r="183" spans="1:8" ht="18.75" x14ac:dyDescent="0.3">
      <c r="A183" s="188" t="s">
        <v>49</v>
      </c>
      <c r="B183" s="189"/>
      <c r="C183" s="232"/>
      <c r="D183" s="232"/>
      <c r="E183" s="232"/>
      <c r="F183" s="190"/>
      <c r="G183" s="251"/>
      <c r="H183" s="251"/>
    </row>
    <row r="184" spans="1:8" ht="15.75" x14ac:dyDescent="0.25">
      <c r="A184" s="191"/>
      <c r="B184" s="189"/>
      <c r="C184" s="232"/>
      <c r="D184" s="232"/>
      <c r="E184" s="232"/>
      <c r="F184" s="190"/>
      <c r="G184" s="257"/>
      <c r="H184" s="257"/>
    </row>
  </sheetData>
  <printOptions horizontalCentered="1"/>
  <pageMargins left="0.7" right="0.45" top="0.25" bottom="0.25" header="0.3" footer="0.3"/>
  <pageSetup scale="61" orientation="landscape" r:id="rId1"/>
  <rowBreaks count="3" manualBreakCount="3">
    <brk id="60" max="16383" man="1"/>
    <brk id="112" max="16383" man="1"/>
    <brk id="1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85"/>
  <sheetViews>
    <sheetView showOutlineSymbols="0" zoomScaleNormal="100" workbookViewId="0">
      <selection activeCell="A6" sqref="A6"/>
    </sheetView>
  </sheetViews>
  <sheetFormatPr defaultColWidth="9.6640625" defaultRowHeight="15" x14ac:dyDescent="0.2"/>
  <cols>
    <col min="1" max="1" width="27.6640625" style="152" customWidth="1"/>
    <col min="2" max="2" width="9.6640625" style="152" customWidth="1"/>
    <col min="3" max="3" width="18.33203125" style="233" customWidth="1"/>
    <col min="4" max="4" width="16.44140625" style="233" customWidth="1"/>
    <col min="5" max="5" width="15.5546875" style="233" customWidth="1"/>
    <col min="6" max="6" width="9.6640625" style="152" customWidth="1"/>
    <col min="7" max="7" width="9.6640625" style="252" customWidth="1"/>
    <col min="8" max="8" width="10.88671875" style="252" customWidth="1"/>
    <col min="9" max="9" width="1.6640625" style="152" customWidth="1"/>
    <col min="10" max="16384" width="9.6640625" style="152"/>
  </cols>
  <sheetData>
    <row r="1" spans="1:9" ht="18" x14ac:dyDescent="0.25">
      <c r="A1" s="149" t="s">
        <v>0</v>
      </c>
      <c r="B1" s="150"/>
      <c r="C1" s="222"/>
      <c r="D1" s="222"/>
      <c r="E1" s="222"/>
      <c r="F1" s="150"/>
      <c r="G1" s="234"/>
      <c r="H1" s="234"/>
      <c r="I1" s="151"/>
    </row>
    <row r="2" spans="1:9" ht="18.75" x14ac:dyDescent="0.3">
      <c r="A2" s="153" t="s">
        <v>41</v>
      </c>
      <c r="B2" s="150"/>
      <c r="C2" s="222"/>
      <c r="D2" s="222"/>
      <c r="E2" s="222"/>
      <c r="F2" s="150"/>
      <c r="G2" s="234"/>
      <c r="H2" s="234"/>
      <c r="I2" s="151"/>
    </row>
    <row r="3" spans="1:9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  <c r="I3" s="151"/>
    </row>
    <row r="4" spans="1:9" ht="18" x14ac:dyDescent="0.25">
      <c r="A4" s="285" t="s">
        <v>78</v>
      </c>
      <c r="B4" s="150"/>
      <c r="C4" s="222"/>
      <c r="D4" s="222"/>
      <c r="E4" s="222"/>
      <c r="F4" s="150"/>
      <c r="G4" s="234"/>
      <c r="H4" s="234"/>
      <c r="I4" s="151"/>
    </row>
    <row r="5" spans="1:9" x14ac:dyDescent="0.2">
      <c r="A5" s="286" t="s">
        <v>73</v>
      </c>
      <c r="B5" s="150"/>
      <c r="C5" s="222"/>
      <c r="D5" s="222"/>
      <c r="E5" s="222"/>
      <c r="F5" s="150"/>
      <c r="G5" s="234"/>
      <c r="H5" s="234"/>
      <c r="I5" s="151"/>
    </row>
    <row r="6" spans="1:9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  <c r="I6" s="151"/>
    </row>
    <row r="7" spans="1:9" ht="16.5" thickTop="1" x14ac:dyDescent="0.25">
      <c r="A7" s="154"/>
      <c r="B7" s="155" t="s">
        <v>2</v>
      </c>
      <c r="C7" s="223" t="s">
        <v>44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  <c r="I7" s="157"/>
    </row>
    <row r="8" spans="1:9" ht="16.5" thickBot="1" x14ac:dyDescent="0.3">
      <c r="A8" s="158" t="s">
        <v>5</v>
      </c>
      <c r="B8" s="159" t="s">
        <v>6</v>
      </c>
      <c r="C8" s="224" t="s">
        <v>45</v>
      </c>
      <c r="D8" s="224" t="s">
        <v>46</v>
      </c>
      <c r="E8" s="224" t="s">
        <v>46</v>
      </c>
      <c r="F8" s="160" t="s">
        <v>8</v>
      </c>
      <c r="G8" s="238" t="s">
        <v>35</v>
      </c>
      <c r="H8" s="254" t="s">
        <v>47</v>
      </c>
      <c r="I8" s="157"/>
    </row>
    <row r="9" spans="1:9" ht="15.75" customHeight="1" thickTop="1" x14ac:dyDescent="0.25">
      <c r="A9" s="161"/>
      <c r="B9" s="162"/>
      <c r="C9" s="225"/>
      <c r="D9" s="225"/>
      <c r="E9" s="225"/>
      <c r="F9" s="163"/>
      <c r="G9" s="239"/>
      <c r="H9" s="240"/>
      <c r="I9" s="157"/>
    </row>
    <row r="10" spans="1:9" ht="15.75" x14ac:dyDescent="0.25">
      <c r="A10" s="164" t="s">
        <v>36</v>
      </c>
      <c r="B10" s="165">
        <f>DATE(22,7,1)</f>
        <v>8218</v>
      </c>
      <c r="C10" s="226">
        <v>134715868.37</v>
      </c>
      <c r="D10" s="226">
        <v>12857023.68</v>
      </c>
      <c r="E10" s="226">
        <v>13537622.550000001</v>
      </c>
      <c r="F10" s="166">
        <f t="shared" ref="F10:F19" si="0">(+D10-E10)/E10</f>
        <v>-5.0274622998703784E-2</v>
      </c>
      <c r="G10" s="241">
        <f t="shared" ref="G10:G19" si="1">D10/C10</f>
        <v>9.5438078940247112E-2</v>
      </c>
      <c r="H10" s="242">
        <f t="shared" ref="H10:H19" si="2">1-G10</f>
        <v>0.90456192105975286</v>
      </c>
      <c r="I10" s="157"/>
    </row>
    <row r="11" spans="1:9" ht="15.75" x14ac:dyDescent="0.25">
      <c r="A11" s="164"/>
      <c r="B11" s="165">
        <f>DATE(22,8,1)</f>
        <v>8249</v>
      </c>
      <c r="C11" s="226">
        <v>124862515.53</v>
      </c>
      <c r="D11" s="226">
        <v>11827521.810000001</v>
      </c>
      <c r="E11" s="226">
        <v>12571995.619999999</v>
      </c>
      <c r="F11" s="166">
        <f t="shared" si="0"/>
        <v>-5.9216836570930867E-2</v>
      </c>
      <c r="G11" s="241">
        <f t="shared" si="1"/>
        <v>9.4724359506903166E-2</v>
      </c>
      <c r="H11" s="242">
        <f t="shared" si="2"/>
        <v>0.90527564049309683</v>
      </c>
      <c r="I11" s="157"/>
    </row>
    <row r="12" spans="1:9" ht="15.75" x14ac:dyDescent="0.25">
      <c r="A12" s="164"/>
      <c r="B12" s="165">
        <f>DATE(22,9,1)</f>
        <v>8280</v>
      </c>
      <c r="C12" s="226">
        <v>120845603.62</v>
      </c>
      <c r="D12" s="226">
        <v>11779242.130000001</v>
      </c>
      <c r="E12" s="226">
        <v>11932276.220000001</v>
      </c>
      <c r="F12" s="166">
        <f t="shared" si="0"/>
        <v>-1.2825221875395023E-2</v>
      </c>
      <c r="G12" s="241">
        <f t="shared" si="1"/>
        <v>9.747348498535309E-2</v>
      </c>
      <c r="H12" s="242">
        <f t="shared" si="2"/>
        <v>0.90252651501464687</v>
      </c>
      <c r="I12" s="157"/>
    </row>
    <row r="13" spans="1:9" ht="15.75" x14ac:dyDescent="0.25">
      <c r="A13" s="164"/>
      <c r="B13" s="165">
        <f>DATE(22,10,1)</f>
        <v>8310</v>
      </c>
      <c r="C13" s="226">
        <v>122949186.61</v>
      </c>
      <c r="D13" s="226">
        <v>11839133.27</v>
      </c>
      <c r="E13" s="226">
        <v>12592302.91</v>
      </c>
      <c r="F13" s="166">
        <f t="shared" si="0"/>
        <v>-5.9811906160697703E-2</v>
      </c>
      <c r="G13" s="241">
        <f t="shared" si="1"/>
        <v>9.6292896247896539E-2</v>
      </c>
      <c r="H13" s="242">
        <f t="shared" si="2"/>
        <v>0.9037071037521035</v>
      </c>
      <c r="I13" s="157"/>
    </row>
    <row r="14" spans="1:9" ht="15.75" x14ac:dyDescent="0.25">
      <c r="A14" s="164"/>
      <c r="B14" s="165">
        <f>DATE(22,11,1)</f>
        <v>8341</v>
      </c>
      <c r="C14" s="226">
        <v>116767090.33</v>
      </c>
      <c r="D14" s="226">
        <v>10518258.619999999</v>
      </c>
      <c r="E14" s="226">
        <v>11228260.109999999</v>
      </c>
      <c r="F14" s="166">
        <f t="shared" si="0"/>
        <v>-6.3233438043323015E-2</v>
      </c>
      <c r="G14" s="241">
        <f t="shared" si="1"/>
        <v>9.007896480313024E-2</v>
      </c>
      <c r="H14" s="242">
        <f t="shared" si="2"/>
        <v>0.90992103519686973</v>
      </c>
      <c r="I14" s="157"/>
    </row>
    <row r="15" spans="1:9" ht="15.75" x14ac:dyDescent="0.25">
      <c r="A15" s="164"/>
      <c r="B15" s="165">
        <f>DATE(22,12,1)</f>
        <v>8371</v>
      </c>
      <c r="C15" s="226">
        <v>124025911.41</v>
      </c>
      <c r="D15" s="226">
        <v>11200076.720000001</v>
      </c>
      <c r="E15" s="226">
        <v>12242955.609999999</v>
      </c>
      <c r="F15" s="166">
        <f t="shared" si="0"/>
        <v>-8.5181954686512074E-2</v>
      </c>
      <c r="G15" s="241">
        <f t="shared" si="1"/>
        <v>9.0304329092775026E-2</v>
      </c>
      <c r="H15" s="242">
        <f t="shared" si="2"/>
        <v>0.90969567090722503</v>
      </c>
      <c r="I15" s="157"/>
    </row>
    <row r="16" spans="1:9" ht="15.75" x14ac:dyDescent="0.25">
      <c r="A16" s="164"/>
      <c r="B16" s="165">
        <f>DATE(23,1,1)</f>
        <v>8402</v>
      </c>
      <c r="C16" s="226">
        <v>125379167.7</v>
      </c>
      <c r="D16" s="226">
        <v>11398304.84</v>
      </c>
      <c r="E16" s="226">
        <v>10440396.67</v>
      </c>
      <c r="F16" s="166">
        <f t="shared" si="0"/>
        <v>9.1750170063222308E-2</v>
      </c>
      <c r="G16" s="241">
        <f t="shared" si="1"/>
        <v>9.09106755858613E-2</v>
      </c>
      <c r="H16" s="242">
        <f t="shared" si="2"/>
        <v>0.9090893244141387</v>
      </c>
      <c r="I16" s="157"/>
    </row>
    <row r="17" spans="1:9" ht="15.75" x14ac:dyDescent="0.25">
      <c r="A17" s="164"/>
      <c r="B17" s="165">
        <f>DATE(23,2,1)</f>
        <v>8433</v>
      </c>
      <c r="C17" s="226">
        <v>121609968.19</v>
      </c>
      <c r="D17" s="226">
        <v>11481138.220000001</v>
      </c>
      <c r="E17" s="226">
        <v>11511927.220000001</v>
      </c>
      <c r="F17" s="166">
        <f t="shared" si="0"/>
        <v>-2.6745304597226246E-3</v>
      </c>
      <c r="G17" s="241">
        <f t="shared" si="1"/>
        <v>9.4409515855330153E-2</v>
      </c>
      <c r="H17" s="242">
        <f t="shared" si="2"/>
        <v>0.90559048414466981</v>
      </c>
      <c r="I17" s="157"/>
    </row>
    <row r="18" spans="1:9" ht="15.75" x14ac:dyDescent="0.25">
      <c r="A18" s="164"/>
      <c r="B18" s="165">
        <f>DATE(23,3,1)</f>
        <v>8461</v>
      </c>
      <c r="C18" s="226">
        <v>141302932.53</v>
      </c>
      <c r="D18" s="226">
        <v>13341210.529999999</v>
      </c>
      <c r="E18" s="226">
        <v>13030966.17</v>
      </c>
      <c r="F18" s="166">
        <f t="shared" si="0"/>
        <v>2.3808239232041489E-2</v>
      </c>
      <c r="G18" s="241">
        <f t="shared" si="1"/>
        <v>9.4415666335640483E-2</v>
      </c>
      <c r="H18" s="242">
        <f t="shared" si="2"/>
        <v>0.90558433366435953</v>
      </c>
      <c r="I18" s="157"/>
    </row>
    <row r="19" spans="1:9" ht="15.75" x14ac:dyDescent="0.25">
      <c r="A19" s="164"/>
      <c r="B19" s="165">
        <f>DATE(23,4,1)</f>
        <v>8492</v>
      </c>
      <c r="C19" s="226">
        <v>128653756.41</v>
      </c>
      <c r="D19" s="226">
        <v>12102886.369999999</v>
      </c>
      <c r="E19" s="226">
        <v>13210334.82</v>
      </c>
      <c r="F19" s="166">
        <f t="shared" si="0"/>
        <v>-8.3831974366263717E-2</v>
      </c>
      <c r="G19" s="241">
        <f t="shared" si="1"/>
        <v>9.4073322907338497E-2</v>
      </c>
      <c r="H19" s="242">
        <f t="shared" si="2"/>
        <v>0.9059266770926615</v>
      </c>
      <c r="I19" s="157"/>
    </row>
    <row r="20" spans="1:9" ht="15.75" thickBot="1" x14ac:dyDescent="0.25">
      <c r="A20" s="167"/>
      <c r="B20" s="168"/>
      <c r="C20" s="226"/>
      <c r="D20" s="226"/>
      <c r="E20" s="226"/>
      <c r="F20" s="166"/>
      <c r="G20" s="241"/>
      <c r="H20" s="242"/>
      <c r="I20" s="157"/>
    </row>
    <row r="21" spans="1:9" ht="17.25" thickTop="1" thickBot="1" x14ac:dyDescent="0.3">
      <c r="A21" s="169" t="s">
        <v>14</v>
      </c>
      <c r="B21" s="155"/>
      <c r="C21" s="223">
        <f>SUM(C10:C20)</f>
        <v>1261112000.7</v>
      </c>
      <c r="D21" s="223">
        <f>SUM(D10:D20)</f>
        <v>118344796.19000001</v>
      </c>
      <c r="E21" s="223">
        <f>SUM(E10:E20)</f>
        <v>122299037.90000001</v>
      </c>
      <c r="F21" s="170">
        <f>(+D21-E21)/E21</f>
        <v>-3.2332565962074448E-2</v>
      </c>
      <c r="G21" s="236">
        <f>D21/C21</f>
        <v>9.384162241284745E-2</v>
      </c>
      <c r="H21" s="237">
        <f>1-G21</f>
        <v>0.90615837758715256</v>
      </c>
      <c r="I21" s="157"/>
    </row>
    <row r="22" spans="1:9" ht="15.75" thickTop="1" x14ac:dyDescent="0.2">
      <c r="A22" s="171"/>
      <c r="B22" s="172"/>
      <c r="C22" s="227"/>
      <c r="D22" s="227"/>
      <c r="E22" s="227"/>
      <c r="F22" s="173"/>
      <c r="G22" s="243"/>
      <c r="H22" s="244"/>
      <c r="I22" s="157"/>
    </row>
    <row r="23" spans="1:9" ht="15.75" x14ac:dyDescent="0.25">
      <c r="A23" s="19" t="s">
        <v>48</v>
      </c>
      <c r="B23" s="165">
        <f>DATE(22,7,1)</f>
        <v>8218</v>
      </c>
      <c r="C23" s="226">
        <v>76496067.980000004</v>
      </c>
      <c r="D23" s="226">
        <v>7757914.71</v>
      </c>
      <c r="E23" s="226">
        <v>7305624.1500000004</v>
      </c>
      <c r="F23" s="166">
        <f t="shared" ref="F23:F32" si="3">(+D23-E23)/E23</f>
        <v>6.1909913610871913E-2</v>
      </c>
      <c r="G23" s="241">
        <f t="shared" ref="G23:G32" si="4">D23/C23</f>
        <v>0.10141586247319688</v>
      </c>
      <c r="H23" s="242">
        <f t="shared" ref="H23:H32" si="5">1-G23</f>
        <v>0.89858413752680311</v>
      </c>
      <c r="I23" s="157"/>
    </row>
    <row r="24" spans="1:9" ht="15.75" x14ac:dyDescent="0.25">
      <c r="A24" s="19"/>
      <c r="B24" s="165">
        <f>DATE(22,8,1)</f>
        <v>8249</v>
      </c>
      <c r="C24" s="226">
        <v>71699704.189999998</v>
      </c>
      <c r="D24" s="226">
        <v>6870200.0300000003</v>
      </c>
      <c r="E24" s="226">
        <v>6574172.1100000003</v>
      </c>
      <c r="F24" s="166">
        <f t="shared" si="3"/>
        <v>4.5028927604391533E-2</v>
      </c>
      <c r="G24" s="241">
        <f t="shared" si="4"/>
        <v>9.5819084717481878E-2</v>
      </c>
      <c r="H24" s="242">
        <f t="shared" si="5"/>
        <v>0.90418091528251809</v>
      </c>
      <c r="I24" s="157"/>
    </row>
    <row r="25" spans="1:9" ht="15.75" x14ac:dyDescent="0.25">
      <c r="A25" s="19"/>
      <c r="B25" s="165">
        <f>DATE(22,9,1)</f>
        <v>8280</v>
      </c>
      <c r="C25" s="226">
        <v>72118161.129999995</v>
      </c>
      <c r="D25" s="226">
        <v>7013550.54</v>
      </c>
      <c r="E25" s="226">
        <v>6771046.1100000003</v>
      </c>
      <c r="F25" s="166">
        <f t="shared" si="3"/>
        <v>3.5814913391573361E-2</v>
      </c>
      <c r="G25" s="241">
        <f t="shared" si="4"/>
        <v>9.7250823233795344E-2</v>
      </c>
      <c r="H25" s="242">
        <f t="shared" si="5"/>
        <v>0.9027491767662047</v>
      </c>
      <c r="I25" s="157"/>
    </row>
    <row r="26" spans="1:9" ht="15.75" x14ac:dyDescent="0.25">
      <c r="A26" s="19"/>
      <c r="B26" s="165">
        <f>DATE(22,10,1)</f>
        <v>8310</v>
      </c>
      <c r="C26" s="226">
        <v>69505120.640000001</v>
      </c>
      <c r="D26" s="226">
        <v>6793373.3399999999</v>
      </c>
      <c r="E26" s="226">
        <v>7189129.7599999998</v>
      </c>
      <c r="F26" s="166">
        <f t="shared" si="3"/>
        <v>-5.5049280401359722E-2</v>
      </c>
      <c r="G26" s="241">
        <f t="shared" si="4"/>
        <v>9.7739177738948232E-2</v>
      </c>
      <c r="H26" s="242">
        <f t="shared" si="5"/>
        <v>0.90226082226105175</v>
      </c>
      <c r="I26" s="157"/>
    </row>
    <row r="27" spans="1:9" ht="15.75" x14ac:dyDescent="0.25">
      <c r="A27" s="19"/>
      <c r="B27" s="165">
        <f>DATE(22,11,1)</f>
        <v>8341</v>
      </c>
      <c r="C27" s="226">
        <v>63859122.32</v>
      </c>
      <c r="D27" s="226">
        <v>6317939.5599999996</v>
      </c>
      <c r="E27" s="226">
        <v>6088324.1399999997</v>
      </c>
      <c r="F27" s="166">
        <f t="shared" si="3"/>
        <v>3.7714059685396435E-2</v>
      </c>
      <c r="G27" s="241">
        <f t="shared" si="4"/>
        <v>9.8935583992849338E-2</v>
      </c>
      <c r="H27" s="242">
        <f t="shared" si="5"/>
        <v>0.9010644160071507</v>
      </c>
      <c r="I27" s="157"/>
    </row>
    <row r="28" spans="1:9" ht="15.75" x14ac:dyDescent="0.25">
      <c r="A28" s="19"/>
      <c r="B28" s="165">
        <f>DATE(22,12,1)</f>
        <v>8371</v>
      </c>
      <c r="C28" s="226">
        <v>67796886.079999998</v>
      </c>
      <c r="D28" s="226">
        <v>6662914.5199999996</v>
      </c>
      <c r="E28" s="226">
        <v>6682194.9000000004</v>
      </c>
      <c r="F28" s="166">
        <f t="shared" si="3"/>
        <v>-2.8853363735321185E-3</v>
      </c>
      <c r="G28" s="241">
        <f t="shared" si="4"/>
        <v>9.8277589211660729E-2</v>
      </c>
      <c r="H28" s="242">
        <f t="shared" si="5"/>
        <v>0.90172241078833926</v>
      </c>
      <c r="I28" s="157"/>
    </row>
    <row r="29" spans="1:9" ht="15.75" x14ac:dyDescent="0.25">
      <c r="A29" s="19"/>
      <c r="B29" s="165">
        <f>DATE(23,1,1)</f>
        <v>8402</v>
      </c>
      <c r="C29" s="226">
        <v>64800171.399999999</v>
      </c>
      <c r="D29" s="226">
        <v>6582615.0199999996</v>
      </c>
      <c r="E29" s="226">
        <v>5978134.6900000004</v>
      </c>
      <c r="F29" s="166">
        <f t="shared" si="3"/>
        <v>0.10111520755983487</v>
      </c>
      <c r="G29" s="241">
        <f t="shared" si="4"/>
        <v>0.10158329642936716</v>
      </c>
      <c r="H29" s="242">
        <f t="shared" si="5"/>
        <v>0.89841670357063286</v>
      </c>
      <c r="I29" s="157"/>
    </row>
    <row r="30" spans="1:9" ht="15.75" x14ac:dyDescent="0.25">
      <c r="A30" s="19"/>
      <c r="B30" s="165">
        <f>DATE(23,2,1)</f>
        <v>8433</v>
      </c>
      <c r="C30" s="226">
        <v>69503787.549999997</v>
      </c>
      <c r="D30" s="226">
        <v>7086159.2699999996</v>
      </c>
      <c r="E30" s="226">
        <v>6104570.21</v>
      </c>
      <c r="F30" s="166">
        <f t="shared" si="3"/>
        <v>0.16079576878189425</v>
      </c>
      <c r="G30" s="241">
        <f t="shared" si="4"/>
        <v>0.10195357001087633</v>
      </c>
      <c r="H30" s="242">
        <f t="shared" si="5"/>
        <v>0.89804642998912365</v>
      </c>
      <c r="I30" s="157"/>
    </row>
    <row r="31" spans="1:9" ht="15.75" x14ac:dyDescent="0.25">
      <c r="A31" s="19"/>
      <c r="B31" s="165">
        <f>DATE(23,3,1)</f>
        <v>8461</v>
      </c>
      <c r="C31" s="226">
        <v>75562804.870000005</v>
      </c>
      <c r="D31" s="226">
        <v>7680727.1699999999</v>
      </c>
      <c r="E31" s="226">
        <v>7172828.29</v>
      </c>
      <c r="F31" s="166">
        <f t="shared" si="3"/>
        <v>7.0808732548092251E-2</v>
      </c>
      <c r="G31" s="241">
        <f t="shared" si="4"/>
        <v>0.10164693043375111</v>
      </c>
      <c r="H31" s="242">
        <f t="shared" si="5"/>
        <v>0.89835306956624894</v>
      </c>
      <c r="I31" s="157"/>
    </row>
    <row r="32" spans="1:9" ht="15.75" x14ac:dyDescent="0.25">
      <c r="A32" s="19"/>
      <c r="B32" s="165">
        <f>DATE(23,4,1)</f>
        <v>8492</v>
      </c>
      <c r="C32" s="226">
        <v>72655852.510000005</v>
      </c>
      <c r="D32" s="226">
        <v>7426831.6100000003</v>
      </c>
      <c r="E32" s="226">
        <v>7550260.2599999998</v>
      </c>
      <c r="F32" s="166">
        <f t="shared" si="3"/>
        <v>-1.6347602036171326E-2</v>
      </c>
      <c r="G32" s="241">
        <f t="shared" si="4"/>
        <v>0.10221931686752704</v>
      </c>
      <c r="H32" s="242">
        <f t="shared" si="5"/>
        <v>0.89778068313247295</v>
      </c>
      <c r="I32" s="157"/>
    </row>
    <row r="33" spans="1:9" ht="15.75" thickBot="1" x14ac:dyDescent="0.25">
      <c r="A33" s="167"/>
      <c r="B33" s="165"/>
      <c r="C33" s="226"/>
      <c r="D33" s="226"/>
      <c r="E33" s="226"/>
      <c r="F33" s="166"/>
      <c r="G33" s="241"/>
      <c r="H33" s="242"/>
      <c r="I33" s="157"/>
    </row>
    <row r="34" spans="1:9" ht="17.25" thickTop="1" thickBot="1" x14ac:dyDescent="0.3">
      <c r="A34" s="169" t="s">
        <v>14</v>
      </c>
      <c r="B34" s="155"/>
      <c r="C34" s="223">
        <f>SUM(C23:C33)</f>
        <v>703997678.66999996</v>
      </c>
      <c r="D34" s="223">
        <f>SUM(D23:D33)</f>
        <v>70192225.769999996</v>
      </c>
      <c r="E34" s="223">
        <f>SUM(E23:E33)</f>
        <v>67416284.620000005</v>
      </c>
      <c r="F34" s="170">
        <f>(+D34-E34)/E34</f>
        <v>4.117612184722011E-2</v>
      </c>
      <c r="G34" s="236">
        <f>D34/C34</f>
        <v>9.9705194912869471E-2</v>
      </c>
      <c r="H34" s="237">
        <f>1-G34</f>
        <v>0.90029480508713056</v>
      </c>
      <c r="I34" s="157"/>
    </row>
    <row r="35" spans="1:9" ht="15.75" thickTop="1" x14ac:dyDescent="0.2">
      <c r="A35" s="171"/>
      <c r="B35" s="172"/>
      <c r="C35" s="227"/>
      <c r="D35" s="227"/>
      <c r="E35" s="227"/>
      <c r="F35" s="173"/>
      <c r="G35" s="243"/>
      <c r="H35" s="244"/>
      <c r="I35" s="157"/>
    </row>
    <row r="36" spans="1:9" ht="15.75" x14ac:dyDescent="0.25">
      <c r="A36" s="19" t="s">
        <v>62</v>
      </c>
      <c r="B36" s="165">
        <f>DATE(22,7,1)</f>
        <v>8218</v>
      </c>
      <c r="C36" s="226">
        <v>35430502.560000002</v>
      </c>
      <c r="D36" s="226">
        <v>3537425.2</v>
      </c>
      <c r="E36" s="226">
        <v>4179858.95</v>
      </c>
      <c r="F36" s="166">
        <f t="shared" ref="F36:F45" si="6">(+D36-E36)/E36</f>
        <v>-0.15369747105940021</v>
      </c>
      <c r="G36" s="241">
        <f t="shared" ref="G36:G43" si="7">D36/C36</f>
        <v>9.9841236911881945E-2</v>
      </c>
      <c r="H36" s="242">
        <f t="shared" ref="H36:H43" si="8">1-G36</f>
        <v>0.90015876308811804</v>
      </c>
      <c r="I36" s="157"/>
    </row>
    <row r="37" spans="1:9" ht="15.75" x14ac:dyDescent="0.25">
      <c r="A37" s="19"/>
      <c r="B37" s="165">
        <f>DATE(22,8,1)</f>
        <v>8249</v>
      </c>
      <c r="C37" s="226">
        <v>31830509.120000001</v>
      </c>
      <c r="D37" s="226">
        <v>3224518.01</v>
      </c>
      <c r="E37" s="226">
        <v>3554355.99</v>
      </c>
      <c r="F37" s="166">
        <f t="shared" si="6"/>
        <v>-9.2798239942195673E-2</v>
      </c>
      <c r="G37" s="241">
        <f t="shared" si="7"/>
        <v>0.10130274692885589</v>
      </c>
      <c r="H37" s="242">
        <f t="shared" si="8"/>
        <v>0.89869725307114412</v>
      </c>
      <c r="I37" s="157"/>
    </row>
    <row r="38" spans="1:9" ht="15.75" x14ac:dyDescent="0.25">
      <c r="A38" s="19"/>
      <c r="B38" s="165">
        <f>DATE(22,9,1)</f>
        <v>8280</v>
      </c>
      <c r="C38" s="226">
        <v>31336078.07</v>
      </c>
      <c r="D38" s="226">
        <v>3285954.25</v>
      </c>
      <c r="E38" s="226">
        <v>3815155.29</v>
      </c>
      <c r="F38" s="166">
        <f t="shared" si="6"/>
        <v>-0.13871022272333247</v>
      </c>
      <c r="G38" s="241">
        <f t="shared" si="7"/>
        <v>0.10486169464665238</v>
      </c>
      <c r="H38" s="242">
        <f t="shared" si="8"/>
        <v>0.8951383053533476</v>
      </c>
      <c r="I38" s="157"/>
    </row>
    <row r="39" spans="1:9" ht="15.75" x14ac:dyDescent="0.25">
      <c r="A39" s="19"/>
      <c r="B39" s="165">
        <f>DATE(22,10,1)</f>
        <v>8310</v>
      </c>
      <c r="C39" s="226">
        <v>31389480.809999999</v>
      </c>
      <c r="D39" s="226">
        <v>3155435.74</v>
      </c>
      <c r="E39" s="226">
        <v>3758784.61</v>
      </c>
      <c r="F39" s="166">
        <f t="shared" si="6"/>
        <v>-0.1605170108430341</v>
      </c>
      <c r="G39" s="241">
        <f t="shared" si="7"/>
        <v>0.10052526064702376</v>
      </c>
      <c r="H39" s="242">
        <f t="shared" si="8"/>
        <v>0.89947473935297628</v>
      </c>
      <c r="I39" s="157"/>
    </row>
    <row r="40" spans="1:9" ht="15.75" x14ac:dyDescent="0.25">
      <c r="A40" s="19"/>
      <c r="B40" s="165">
        <f>DATE(22,11,1)</f>
        <v>8341</v>
      </c>
      <c r="C40" s="226">
        <v>26208826.050000001</v>
      </c>
      <c r="D40" s="226">
        <v>2805588.39</v>
      </c>
      <c r="E40" s="226">
        <v>3347078.48</v>
      </c>
      <c r="F40" s="166">
        <f t="shared" si="6"/>
        <v>-0.16177992037999656</v>
      </c>
      <c r="G40" s="241">
        <f t="shared" si="7"/>
        <v>0.10704746502753029</v>
      </c>
      <c r="H40" s="242">
        <f t="shared" si="8"/>
        <v>0.89295253497246974</v>
      </c>
      <c r="I40" s="157"/>
    </row>
    <row r="41" spans="1:9" ht="15.75" x14ac:dyDescent="0.25">
      <c r="A41" s="19"/>
      <c r="B41" s="165">
        <f>DATE(22,12,1)</f>
        <v>8371</v>
      </c>
      <c r="C41" s="226">
        <v>26575799.629999999</v>
      </c>
      <c r="D41" s="226">
        <v>2840105.54</v>
      </c>
      <c r="E41" s="226">
        <v>3599731.36</v>
      </c>
      <c r="F41" s="166">
        <f t="shared" si="6"/>
        <v>-0.2110229192213943</v>
      </c>
      <c r="G41" s="241">
        <f t="shared" si="7"/>
        <v>0.10686811232554436</v>
      </c>
      <c r="H41" s="242">
        <f t="shared" si="8"/>
        <v>0.89313188767445562</v>
      </c>
      <c r="I41" s="157"/>
    </row>
    <row r="42" spans="1:9" ht="15.75" x14ac:dyDescent="0.25">
      <c r="A42" s="19"/>
      <c r="B42" s="165">
        <f>DATE(23,1,1)</f>
        <v>8402</v>
      </c>
      <c r="C42" s="226">
        <v>31328848.890000001</v>
      </c>
      <c r="D42" s="226">
        <v>3252604.7</v>
      </c>
      <c r="E42" s="226">
        <v>3120845.46</v>
      </c>
      <c r="F42" s="166">
        <f t="shared" si="6"/>
        <v>4.2219085080874276E-2</v>
      </c>
      <c r="G42" s="241">
        <f t="shared" si="7"/>
        <v>0.10382139195156366</v>
      </c>
      <c r="H42" s="242">
        <f t="shared" si="8"/>
        <v>0.8961786080484363</v>
      </c>
      <c r="I42" s="157"/>
    </row>
    <row r="43" spans="1:9" ht="15.75" x14ac:dyDescent="0.25">
      <c r="A43" s="19"/>
      <c r="B43" s="165">
        <f>DATE(23,2,1)</f>
        <v>8433</v>
      </c>
      <c r="C43" s="226">
        <v>34355286.020000003</v>
      </c>
      <c r="D43" s="226">
        <v>3650464.97</v>
      </c>
      <c r="E43" s="226">
        <v>3529009.1</v>
      </c>
      <c r="F43" s="166">
        <f t="shared" si="6"/>
        <v>3.4416423012340804E-2</v>
      </c>
      <c r="G43" s="241">
        <f t="shared" si="7"/>
        <v>0.10625628230470485</v>
      </c>
      <c r="H43" s="242">
        <f t="shared" si="8"/>
        <v>0.89374371769529515</v>
      </c>
      <c r="I43" s="157"/>
    </row>
    <row r="44" spans="1:9" ht="15.75" x14ac:dyDescent="0.25">
      <c r="A44" s="19"/>
      <c r="B44" s="165">
        <f>DATE(23,3,1)</f>
        <v>8461</v>
      </c>
      <c r="C44" s="291">
        <v>38300920.039999999</v>
      </c>
      <c r="D44" s="226">
        <v>4184272.39</v>
      </c>
      <c r="E44" s="226">
        <v>4379101.5599999996</v>
      </c>
      <c r="F44" s="166">
        <f t="shared" si="6"/>
        <v>-4.4490671734957313E-2</v>
      </c>
      <c r="G44" s="241">
        <f>D44/C44</f>
        <v>0.10924730752238088</v>
      </c>
      <c r="H44" s="242">
        <f>1-G44</f>
        <v>0.89075269247761912</v>
      </c>
      <c r="I44" s="157"/>
    </row>
    <row r="45" spans="1:9" ht="15.75" x14ac:dyDescent="0.25">
      <c r="A45" s="19"/>
      <c r="B45" s="165">
        <f>DATE(23,4,1)</f>
        <v>8492</v>
      </c>
      <c r="C45" s="291">
        <v>35331598.329999998</v>
      </c>
      <c r="D45" s="226">
        <v>3709089.71</v>
      </c>
      <c r="E45" s="226">
        <v>3978475.16</v>
      </c>
      <c r="F45" s="166">
        <f t="shared" si="6"/>
        <v>-6.771072814741419E-2</v>
      </c>
      <c r="G45" s="241">
        <f>D45/C45</f>
        <v>0.10497939196966978</v>
      </c>
      <c r="H45" s="242">
        <f>1-G45</f>
        <v>0.89502060803033023</v>
      </c>
      <c r="I45" s="157"/>
    </row>
    <row r="46" spans="1:9" ht="15.75" thickBot="1" x14ac:dyDescent="0.25">
      <c r="A46" s="167"/>
      <c r="B46" s="165"/>
      <c r="C46" s="226"/>
      <c r="D46" s="226"/>
      <c r="E46" s="226"/>
      <c r="F46" s="166"/>
      <c r="G46" s="241"/>
      <c r="H46" s="242"/>
      <c r="I46" s="157"/>
    </row>
    <row r="47" spans="1:9" ht="17.25" thickTop="1" thickBot="1" x14ac:dyDescent="0.3">
      <c r="A47" s="174" t="s">
        <v>14</v>
      </c>
      <c r="B47" s="175"/>
      <c r="C47" s="228">
        <f>SUM(C36:C46)</f>
        <v>322087849.51999998</v>
      </c>
      <c r="D47" s="228">
        <f>SUM(D36:D46)</f>
        <v>33645458.899999999</v>
      </c>
      <c r="E47" s="228">
        <f>SUM(E36:E46)</f>
        <v>37262395.960000001</v>
      </c>
      <c r="F47" s="176">
        <f>(+D47-E47)/E47</f>
        <v>-9.706667987433415E-2</v>
      </c>
      <c r="G47" s="245">
        <f>D47/C47</f>
        <v>0.10446050340036435</v>
      </c>
      <c r="H47" s="246">
        <f>1-G47</f>
        <v>0.89553949659963561</v>
      </c>
      <c r="I47" s="157"/>
    </row>
    <row r="48" spans="1:9" ht="15.75" thickTop="1" x14ac:dyDescent="0.2">
      <c r="A48" s="167"/>
      <c r="B48" s="168"/>
      <c r="C48" s="226"/>
      <c r="D48" s="226"/>
      <c r="E48" s="226"/>
      <c r="F48" s="166"/>
      <c r="G48" s="241"/>
      <c r="H48" s="242"/>
      <c r="I48" s="157"/>
    </row>
    <row r="49" spans="1:9" ht="15.75" x14ac:dyDescent="0.25">
      <c r="A49" s="177" t="s">
        <v>58</v>
      </c>
      <c r="B49" s="165">
        <f>DATE(22,7,1)</f>
        <v>8218</v>
      </c>
      <c r="C49" s="226">
        <v>201538093.34999999</v>
      </c>
      <c r="D49" s="226">
        <v>17880290.199999999</v>
      </c>
      <c r="E49" s="226">
        <v>16788708.57</v>
      </c>
      <c r="F49" s="166">
        <f t="shared" ref="F49:F58" si="9">(+D49-E49)/E49</f>
        <v>6.5018796737621787E-2</v>
      </c>
      <c r="G49" s="241">
        <f t="shared" ref="G49:G58" si="10">D49/C49</f>
        <v>8.8719159255656418E-2</v>
      </c>
      <c r="H49" s="242">
        <f t="shared" ref="H49:H58" si="11">1-G49</f>
        <v>0.91128084074434357</v>
      </c>
      <c r="I49" s="157"/>
    </row>
    <row r="50" spans="1:9" ht="15.75" x14ac:dyDescent="0.25">
      <c r="A50" s="177"/>
      <c r="B50" s="165">
        <f>DATE(22,8,1)</f>
        <v>8249</v>
      </c>
      <c r="C50" s="226">
        <v>184867734.87</v>
      </c>
      <c r="D50" s="226">
        <v>17060867.379999999</v>
      </c>
      <c r="E50" s="226">
        <v>15228470.93</v>
      </c>
      <c r="F50" s="166">
        <f t="shared" si="9"/>
        <v>0.12032701499860954</v>
      </c>
      <c r="G50" s="241">
        <f t="shared" si="10"/>
        <v>9.2286884955870174E-2</v>
      </c>
      <c r="H50" s="242">
        <f t="shared" si="11"/>
        <v>0.90771311504412977</v>
      </c>
      <c r="I50" s="157"/>
    </row>
    <row r="51" spans="1:9" ht="15.75" x14ac:dyDescent="0.25">
      <c r="A51" s="177"/>
      <c r="B51" s="165">
        <f>DATE(22,9,1)</f>
        <v>8280</v>
      </c>
      <c r="C51" s="226">
        <v>181026457.53999999</v>
      </c>
      <c r="D51" s="226">
        <v>17061917.539999999</v>
      </c>
      <c r="E51" s="226">
        <v>16699713.119999999</v>
      </c>
      <c r="F51" s="166">
        <f t="shared" si="9"/>
        <v>2.168926001286901E-2</v>
      </c>
      <c r="G51" s="241">
        <f t="shared" si="10"/>
        <v>9.4250960726168773E-2</v>
      </c>
      <c r="H51" s="242">
        <f t="shared" si="11"/>
        <v>0.90574903927383121</v>
      </c>
      <c r="I51" s="157"/>
    </row>
    <row r="52" spans="1:9" ht="15.75" x14ac:dyDescent="0.25">
      <c r="A52" s="177"/>
      <c r="B52" s="165">
        <f>DATE(22,10,1)</f>
        <v>8310</v>
      </c>
      <c r="C52" s="226">
        <v>173386132.72999999</v>
      </c>
      <c r="D52" s="226">
        <v>16341780.85</v>
      </c>
      <c r="E52" s="226">
        <v>16704308.949999999</v>
      </c>
      <c r="F52" s="166">
        <f t="shared" si="9"/>
        <v>-2.1702669717444351E-2</v>
      </c>
      <c r="G52" s="241">
        <f t="shared" si="10"/>
        <v>9.4250794989745312E-2</v>
      </c>
      <c r="H52" s="242">
        <f t="shared" si="11"/>
        <v>0.90574920501025469</v>
      </c>
      <c r="I52" s="157"/>
    </row>
    <row r="53" spans="1:9" ht="15.75" x14ac:dyDescent="0.25">
      <c r="A53" s="177"/>
      <c r="B53" s="165">
        <f>DATE(22,11,1)</f>
        <v>8341</v>
      </c>
      <c r="C53" s="226">
        <v>167573650.06999999</v>
      </c>
      <c r="D53" s="226">
        <v>14923708.42</v>
      </c>
      <c r="E53" s="226">
        <v>15419780.210000001</v>
      </c>
      <c r="F53" s="166">
        <f t="shared" si="9"/>
        <v>-3.2171132353643384E-2</v>
      </c>
      <c r="G53" s="241">
        <f t="shared" si="10"/>
        <v>8.9057607886239676E-2</v>
      </c>
      <c r="H53" s="242">
        <f t="shared" si="11"/>
        <v>0.91094239211376027</v>
      </c>
      <c r="I53" s="157"/>
    </row>
    <row r="54" spans="1:9" ht="15.75" x14ac:dyDescent="0.25">
      <c r="A54" s="177"/>
      <c r="B54" s="165">
        <f>DATE(22,12,1)</f>
        <v>8371</v>
      </c>
      <c r="C54" s="226">
        <v>179839316.61000001</v>
      </c>
      <c r="D54" s="226">
        <v>16991042.620000001</v>
      </c>
      <c r="E54" s="226">
        <v>17100191.719999999</v>
      </c>
      <c r="F54" s="166">
        <f t="shared" si="9"/>
        <v>-6.3829167407719435E-3</v>
      </c>
      <c r="G54" s="241">
        <f t="shared" si="10"/>
        <v>9.4479021274568226E-2</v>
      </c>
      <c r="H54" s="242">
        <f t="shared" si="11"/>
        <v>0.9055209787254318</v>
      </c>
      <c r="I54" s="157"/>
    </row>
    <row r="55" spans="1:9" ht="15.75" x14ac:dyDescent="0.25">
      <c r="A55" s="177"/>
      <c r="B55" s="165">
        <f>DATE(23,1,1)</f>
        <v>8402</v>
      </c>
      <c r="C55" s="226">
        <v>175026046.66</v>
      </c>
      <c r="D55" s="226">
        <v>15916443.26</v>
      </c>
      <c r="E55" s="226">
        <v>15681818.640000001</v>
      </c>
      <c r="F55" s="166">
        <f t="shared" si="9"/>
        <v>1.4961569533876408E-2</v>
      </c>
      <c r="G55" s="241">
        <f t="shared" si="10"/>
        <v>9.0937569371710561E-2</v>
      </c>
      <c r="H55" s="242">
        <f t="shared" si="11"/>
        <v>0.9090624306282894</v>
      </c>
      <c r="I55" s="157"/>
    </row>
    <row r="56" spans="1:9" ht="15.75" x14ac:dyDescent="0.25">
      <c r="A56" s="177"/>
      <c r="B56" s="165">
        <f>DATE(23,2,1)</f>
        <v>8433</v>
      </c>
      <c r="C56" s="226">
        <v>183497812.37</v>
      </c>
      <c r="D56" s="226">
        <v>16968749.350000001</v>
      </c>
      <c r="E56" s="226">
        <v>15007235.039999999</v>
      </c>
      <c r="F56" s="166">
        <f t="shared" si="9"/>
        <v>0.13070457714374561</v>
      </c>
      <c r="G56" s="241">
        <f t="shared" si="10"/>
        <v>9.247385094588853E-2</v>
      </c>
      <c r="H56" s="242">
        <f t="shared" si="11"/>
        <v>0.90752614905411144</v>
      </c>
      <c r="I56" s="157"/>
    </row>
    <row r="57" spans="1:9" ht="15.75" x14ac:dyDescent="0.25">
      <c r="A57" s="177"/>
      <c r="B57" s="165">
        <f>DATE(23,3,1)</f>
        <v>8461</v>
      </c>
      <c r="C57" s="226">
        <v>212533156.94999999</v>
      </c>
      <c r="D57" s="226">
        <v>19124762.489999998</v>
      </c>
      <c r="E57" s="226">
        <v>19277164.579999998</v>
      </c>
      <c r="F57" s="166">
        <f t="shared" si="9"/>
        <v>-7.9058353923126528E-3</v>
      </c>
      <c r="G57" s="241">
        <f t="shared" si="10"/>
        <v>8.9984841727539205E-2</v>
      </c>
      <c r="H57" s="242">
        <f t="shared" si="11"/>
        <v>0.91001515827246082</v>
      </c>
      <c r="I57" s="157"/>
    </row>
    <row r="58" spans="1:9" ht="15.75" x14ac:dyDescent="0.25">
      <c r="A58" s="177"/>
      <c r="B58" s="165">
        <f>DATE(23,4,1)</f>
        <v>8492</v>
      </c>
      <c r="C58" s="226">
        <v>196392791</v>
      </c>
      <c r="D58" s="226">
        <v>18086108.760000002</v>
      </c>
      <c r="E58" s="226">
        <v>19150089.609999999</v>
      </c>
      <c r="F58" s="166">
        <f t="shared" si="9"/>
        <v>-5.5560097715908169E-2</v>
      </c>
      <c r="G58" s="241">
        <f t="shared" si="10"/>
        <v>9.2091510426164272E-2</v>
      </c>
      <c r="H58" s="242">
        <f t="shared" si="11"/>
        <v>0.90790848957383574</v>
      </c>
      <c r="I58" s="157"/>
    </row>
    <row r="59" spans="1:9" ht="15.75" thickBot="1" x14ac:dyDescent="0.25">
      <c r="A59" s="167"/>
      <c r="B59" s="168"/>
      <c r="C59" s="226"/>
      <c r="D59" s="226"/>
      <c r="E59" s="226"/>
      <c r="F59" s="166"/>
      <c r="G59" s="241"/>
      <c r="H59" s="242"/>
      <c r="I59" s="157"/>
    </row>
    <row r="60" spans="1:9" ht="17.25" thickTop="1" thickBot="1" x14ac:dyDescent="0.3">
      <c r="A60" s="174" t="s">
        <v>14</v>
      </c>
      <c r="B60" s="178"/>
      <c r="C60" s="228">
        <f>SUM(C49:C59)</f>
        <v>1855681192.1500003</v>
      </c>
      <c r="D60" s="228">
        <f>SUM(D49:D59)</f>
        <v>170355670.87</v>
      </c>
      <c r="E60" s="228">
        <f>SUM(E49:E59)</f>
        <v>167057481.37</v>
      </c>
      <c r="F60" s="176">
        <f>(+D60-E60)/E60</f>
        <v>1.9742842241797891E-2</v>
      </c>
      <c r="G60" s="245">
        <f>D60/C60</f>
        <v>9.1802229602071447E-2</v>
      </c>
      <c r="H60" s="246">
        <f>1-G60</f>
        <v>0.90819777039792859</v>
      </c>
      <c r="I60" s="157"/>
    </row>
    <row r="61" spans="1:9" ht="15.75" thickTop="1" x14ac:dyDescent="0.2">
      <c r="A61" s="167"/>
      <c r="B61" s="168"/>
      <c r="C61" s="226"/>
      <c r="D61" s="226"/>
      <c r="E61" s="226"/>
      <c r="F61" s="166"/>
      <c r="G61" s="241"/>
      <c r="H61" s="242"/>
      <c r="I61" s="157"/>
    </row>
    <row r="62" spans="1:9" ht="15.75" x14ac:dyDescent="0.25">
      <c r="A62" s="164" t="s">
        <v>60</v>
      </c>
      <c r="B62" s="165">
        <f>DATE(22,7,1)</f>
        <v>8218</v>
      </c>
      <c r="C62" s="226">
        <v>121501837.18000001</v>
      </c>
      <c r="D62" s="226">
        <v>11877741.560000001</v>
      </c>
      <c r="E62" s="226">
        <v>12735420.67</v>
      </c>
      <c r="F62" s="166">
        <f t="shared" ref="F62:F71" si="12">(+D62-E62)/E62</f>
        <v>-6.7345958349093099E-2</v>
      </c>
      <c r="G62" s="241">
        <f t="shared" ref="G62:G71" si="13">D62/C62</f>
        <v>9.7757711617180013E-2</v>
      </c>
      <c r="H62" s="242">
        <f t="shared" ref="H62:H71" si="14">1-G62</f>
        <v>0.90224228838281995</v>
      </c>
      <c r="I62" s="157"/>
    </row>
    <row r="63" spans="1:9" ht="15.75" x14ac:dyDescent="0.25">
      <c r="A63" s="164"/>
      <c r="B63" s="165">
        <f>DATE(22,8,1)</f>
        <v>8249</v>
      </c>
      <c r="C63" s="226">
        <v>118750548.98999999</v>
      </c>
      <c r="D63" s="226">
        <v>11399779.33</v>
      </c>
      <c r="E63" s="226">
        <v>11645905.550000001</v>
      </c>
      <c r="F63" s="166">
        <f t="shared" si="12"/>
        <v>-2.113414186155757E-2</v>
      </c>
      <c r="G63" s="241">
        <f t="shared" si="13"/>
        <v>9.5997697921884784E-2</v>
      </c>
      <c r="H63" s="242">
        <f t="shared" si="14"/>
        <v>0.90400230207811516</v>
      </c>
      <c r="I63" s="157"/>
    </row>
    <row r="64" spans="1:9" ht="15.75" x14ac:dyDescent="0.25">
      <c r="A64" s="164"/>
      <c r="B64" s="165">
        <f>DATE(22,9,1)</f>
        <v>8280</v>
      </c>
      <c r="C64" s="226">
        <v>118393348.34</v>
      </c>
      <c r="D64" s="226">
        <v>10069352.810000001</v>
      </c>
      <c r="E64" s="226">
        <v>11184280.18</v>
      </c>
      <c r="F64" s="166">
        <f t="shared" si="12"/>
        <v>-9.9687002834007971E-2</v>
      </c>
      <c r="G64" s="241">
        <f t="shared" si="13"/>
        <v>8.5049987614870093E-2</v>
      </c>
      <c r="H64" s="242">
        <f t="shared" si="14"/>
        <v>0.91495001238512996</v>
      </c>
      <c r="I64" s="157"/>
    </row>
    <row r="65" spans="1:9" ht="15.75" x14ac:dyDescent="0.25">
      <c r="A65" s="164"/>
      <c r="B65" s="165">
        <f>DATE(22,10,1)</f>
        <v>8310</v>
      </c>
      <c r="C65" s="226">
        <v>113325190.2</v>
      </c>
      <c r="D65" s="226">
        <v>10695374.6</v>
      </c>
      <c r="E65" s="226">
        <v>11396005.27</v>
      </c>
      <c r="F65" s="166">
        <f t="shared" si="12"/>
        <v>-6.1480374341736324E-2</v>
      </c>
      <c r="G65" s="241">
        <f t="shared" si="13"/>
        <v>9.4377733504126066E-2</v>
      </c>
      <c r="H65" s="242">
        <f t="shared" si="14"/>
        <v>0.90562226649587396</v>
      </c>
      <c r="I65" s="157"/>
    </row>
    <row r="66" spans="1:9" ht="15.75" x14ac:dyDescent="0.25">
      <c r="A66" s="164"/>
      <c r="B66" s="165">
        <f>DATE(22,11,1)</f>
        <v>8341</v>
      </c>
      <c r="C66" s="226">
        <v>111643931.18000001</v>
      </c>
      <c r="D66" s="226">
        <v>10611649.119999999</v>
      </c>
      <c r="E66" s="226">
        <v>11134846.92</v>
      </c>
      <c r="F66" s="166">
        <f t="shared" si="12"/>
        <v>-4.6987426388435768E-2</v>
      </c>
      <c r="G66" s="241">
        <f t="shared" si="13"/>
        <v>9.5049045728165651E-2</v>
      </c>
      <c r="H66" s="242">
        <f t="shared" si="14"/>
        <v>0.90495095427183436</v>
      </c>
      <c r="I66" s="157"/>
    </row>
    <row r="67" spans="1:9" ht="15.75" x14ac:dyDescent="0.25">
      <c r="A67" s="164"/>
      <c r="B67" s="165">
        <f>DATE(22,12,1)</f>
        <v>8371</v>
      </c>
      <c r="C67" s="226">
        <v>116948326.45</v>
      </c>
      <c r="D67" s="226">
        <v>11067872.5</v>
      </c>
      <c r="E67" s="226">
        <v>11993406.699999999</v>
      </c>
      <c r="F67" s="166">
        <f t="shared" si="12"/>
        <v>-7.7170250551079816E-2</v>
      </c>
      <c r="G67" s="241">
        <f t="shared" si="13"/>
        <v>9.4638998572860719E-2</v>
      </c>
      <c r="H67" s="242">
        <f t="shared" si="14"/>
        <v>0.90536100142713927</v>
      </c>
      <c r="I67" s="157"/>
    </row>
    <row r="68" spans="1:9" ht="15.75" x14ac:dyDescent="0.25">
      <c r="A68" s="164"/>
      <c r="B68" s="165">
        <f>DATE(23,1,1)</f>
        <v>8402</v>
      </c>
      <c r="C68" s="226">
        <v>110269909.43000001</v>
      </c>
      <c r="D68" s="226">
        <v>10685663.300000001</v>
      </c>
      <c r="E68" s="226">
        <v>10442254.630000001</v>
      </c>
      <c r="F68" s="166">
        <f t="shared" si="12"/>
        <v>2.330997266631487E-2</v>
      </c>
      <c r="G68" s="241">
        <f t="shared" si="13"/>
        <v>9.6904616637808375E-2</v>
      </c>
      <c r="H68" s="242">
        <f t="shared" si="14"/>
        <v>0.90309538336219164</v>
      </c>
      <c r="I68" s="157"/>
    </row>
    <row r="69" spans="1:9" ht="15.75" x14ac:dyDescent="0.25">
      <c r="A69" s="164"/>
      <c r="B69" s="165">
        <f>DATE(23,2,1)</f>
        <v>8433</v>
      </c>
      <c r="C69" s="226">
        <v>108459543.72</v>
      </c>
      <c r="D69" s="226">
        <v>10567662.619999999</v>
      </c>
      <c r="E69" s="226">
        <v>10124033.77</v>
      </c>
      <c r="F69" s="166">
        <f t="shared" si="12"/>
        <v>4.3819376750261436E-2</v>
      </c>
      <c r="G69" s="241">
        <f t="shared" si="13"/>
        <v>9.7434142331278464E-2</v>
      </c>
      <c r="H69" s="242">
        <f t="shared" si="14"/>
        <v>0.90256585766872155</v>
      </c>
      <c r="I69" s="157"/>
    </row>
    <row r="70" spans="1:9" ht="15.75" x14ac:dyDescent="0.25">
      <c r="A70" s="164"/>
      <c r="B70" s="165">
        <f>DATE(23,3,1)</f>
        <v>8461</v>
      </c>
      <c r="C70" s="226">
        <v>128565630.51000001</v>
      </c>
      <c r="D70" s="226">
        <v>12565055.32</v>
      </c>
      <c r="E70" s="226">
        <v>12312940.59</v>
      </c>
      <c r="F70" s="166">
        <f t="shared" si="12"/>
        <v>2.047559055103022E-2</v>
      </c>
      <c r="G70" s="241">
        <f t="shared" si="13"/>
        <v>9.7732615397726166E-2</v>
      </c>
      <c r="H70" s="242">
        <f t="shared" si="14"/>
        <v>0.90226738460227385</v>
      </c>
      <c r="I70" s="157"/>
    </row>
    <row r="71" spans="1:9" ht="15.75" x14ac:dyDescent="0.25">
      <c r="A71" s="164"/>
      <c r="B71" s="165">
        <f>DATE(23,4,1)</f>
        <v>8492</v>
      </c>
      <c r="C71" s="226">
        <v>116587454.37</v>
      </c>
      <c r="D71" s="226">
        <v>11102592.5</v>
      </c>
      <c r="E71" s="226">
        <v>12424611.6</v>
      </c>
      <c r="F71" s="166">
        <f t="shared" si="12"/>
        <v>-0.10640325368400246</v>
      </c>
      <c r="G71" s="241">
        <f t="shared" si="13"/>
        <v>9.5229735995135442E-2</v>
      </c>
      <c r="H71" s="242">
        <f t="shared" si="14"/>
        <v>0.9047702640048646</v>
      </c>
      <c r="I71" s="157"/>
    </row>
    <row r="72" spans="1:9" ht="15.75" thickBot="1" x14ac:dyDescent="0.25">
      <c r="A72" s="167"/>
      <c r="B72" s="165"/>
      <c r="C72" s="226"/>
      <c r="D72" s="226"/>
      <c r="E72" s="226"/>
      <c r="F72" s="166"/>
      <c r="G72" s="241"/>
      <c r="H72" s="242"/>
      <c r="I72" s="157"/>
    </row>
    <row r="73" spans="1:9" ht="17.25" thickTop="1" thickBot="1" x14ac:dyDescent="0.3">
      <c r="A73" s="174" t="s">
        <v>14</v>
      </c>
      <c r="B73" s="175"/>
      <c r="C73" s="228">
        <f>SUM(C62:C72)</f>
        <v>1164445720.3699999</v>
      </c>
      <c r="D73" s="230">
        <f>SUM(D62:D72)</f>
        <v>110642743.66</v>
      </c>
      <c r="E73" s="271">
        <f>SUM(E62:E72)</f>
        <v>115393705.88</v>
      </c>
      <c r="F73" s="272">
        <f>(+D73-E73)/E73</f>
        <v>-4.1171762218474989E-2</v>
      </c>
      <c r="G73" s="249">
        <f>D73/C73</f>
        <v>9.5017519257869332E-2</v>
      </c>
      <c r="H73" s="270">
        <f>1-G73</f>
        <v>0.90498248074213072</v>
      </c>
      <c r="I73" s="157"/>
    </row>
    <row r="74" spans="1:9" ht="15.75" thickTop="1" x14ac:dyDescent="0.2">
      <c r="A74" s="167"/>
      <c r="B74" s="168"/>
      <c r="C74" s="226"/>
      <c r="D74" s="226"/>
      <c r="E74" s="226"/>
      <c r="F74" s="166"/>
      <c r="G74" s="241"/>
      <c r="H74" s="242"/>
      <c r="I74" s="157"/>
    </row>
    <row r="75" spans="1:9" ht="15.75" x14ac:dyDescent="0.25">
      <c r="A75" s="164" t="s">
        <v>64</v>
      </c>
      <c r="B75" s="165">
        <f>DATE(22,7,1)</f>
        <v>8218</v>
      </c>
      <c r="C75" s="226">
        <v>53641198.850000001</v>
      </c>
      <c r="D75" s="226">
        <v>5559220.0999999996</v>
      </c>
      <c r="E75" s="226">
        <v>5744094.3399999999</v>
      </c>
      <c r="F75" s="166">
        <f t="shared" ref="F75:F84" si="15">(+D75-E75)/E75</f>
        <v>-3.218509812984726E-2</v>
      </c>
      <c r="G75" s="241">
        <f t="shared" ref="G75:G84" si="16">D75/C75</f>
        <v>0.10363713375507452</v>
      </c>
      <c r="H75" s="242">
        <f t="shared" ref="H75:H84" si="17">1-G75</f>
        <v>0.89636286624492545</v>
      </c>
      <c r="I75" s="157"/>
    </row>
    <row r="76" spans="1:9" ht="15.75" x14ac:dyDescent="0.25">
      <c r="A76" s="164"/>
      <c r="B76" s="165">
        <f>DATE(22,8,1)</f>
        <v>8249</v>
      </c>
      <c r="C76" s="226">
        <v>47590579.289999999</v>
      </c>
      <c r="D76" s="226">
        <v>4834999.09</v>
      </c>
      <c r="E76" s="226">
        <v>5022432.17</v>
      </c>
      <c r="F76" s="166">
        <f t="shared" si="15"/>
        <v>-3.7319185935367261E-2</v>
      </c>
      <c r="G76" s="241">
        <f t="shared" si="16"/>
        <v>0.10159571835714043</v>
      </c>
      <c r="H76" s="242">
        <f t="shared" si="17"/>
        <v>0.89840428164285957</v>
      </c>
      <c r="I76" s="157"/>
    </row>
    <row r="77" spans="1:9" ht="15.75" x14ac:dyDescent="0.25">
      <c r="A77" s="164"/>
      <c r="B77" s="165">
        <f>DATE(22,9,1)</f>
        <v>8280</v>
      </c>
      <c r="C77" s="226">
        <v>47220660.240000002</v>
      </c>
      <c r="D77" s="226">
        <v>4841899.8</v>
      </c>
      <c r="E77" s="226">
        <v>5281548.16</v>
      </c>
      <c r="F77" s="166">
        <f t="shared" si="15"/>
        <v>-8.3242327189155141E-2</v>
      </c>
      <c r="G77" s="241">
        <f t="shared" si="16"/>
        <v>0.10253774037446621</v>
      </c>
      <c r="H77" s="242">
        <f t="shared" si="17"/>
        <v>0.89746225962553383</v>
      </c>
      <c r="I77" s="157"/>
    </row>
    <row r="78" spans="1:9" ht="15.75" x14ac:dyDescent="0.25">
      <c r="A78" s="164"/>
      <c r="B78" s="165">
        <f>DATE(22,10,1)</f>
        <v>8310</v>
      </c>
      <c r="C78" s="226">
        <v>47792404.840000004</v>
      </c>
      <c r="D78" s="226">
        <v>4853868.22</v>
      </c>
      <c r="E78" s="226">
        <v>5329338.8099999996</v>
      </c>
      <c r="F78" s="166">
        <f t="shared" si="15"/>
        <v>-8.9217557177604156E-2</v>
      </c>
      <c r="G78" s="241">
        <f t="shared" si="16"/>
        <v>0.10156149782062315</v>
      </c>
      <c r="H78" s="242">
        <f t="shared" si="17"/>
        <v>0.89843850217937682</v>
      </c>
      <c r="I78" s="157"/>
    </row>
    <row r="79" spans="1:9" ht="15.75" x14ac:dyDescent="0.25">
      <c r="A79" s="164"/>
      <c r="B79" s="165">
        <f>DATE(22,11,1)</f>
        <v>8341</v>
      </c>
      <c r="C79" s="226">
        <v>43866316.450000003</v>
      </c>
      <c r="D79" s="226">
        <v>4436643.53</v>
      </c>
      <c r="E79" s="226">
        <v>4979381.55</v>
      </c>
      <c r="F79" s="166">
        <f t="shared" si="15"/>
        <v>-0.10899707414467959</v>
      </c>
      <c r="G79" s="241">
        <f t="shared" si="16"/>
        <v>0.1011400976659849</v>
      </c>
      <c r="H79" s="242">
        <f t="shared" si="17"/>
        <v>0.89885990233401514</v>
      </c>
      <c r="I79" s="157"/>
    </row>
    <row r="80" spans="1:9" ht="15.75" x14ac:dyDescent="0.25">
      <c r="A80" s="164"/>
      <c r="B80" s="165">
        <f>DATE(22,12,1)</f>
        <v>8371</v>
      </c>
      <c r="C80" s="226">
        <v>49072561.07</v>
      </c>
      <c r="D80" s="226">
        <v>4878718.8099999996</v>
      </c>
      <c r="E80" s="226">
        <v>5568235.3899999997</v>
      </c>
      <c r="F80" s="166">
        <f t="shared" si="15"/>
        <v>-0.12383035768177181</v>
      </c>
      <c r="G80" s="241">
        <f t="shared" si="16"/>
        <v>9.9418467339430411E-2</v>
      </c>
      <c r="H80" s="242">
        <f t="shared" si="17"/>
        <v>0.90058153266056962</v>
      </c>
      <c r="I80" s="157"/>
    </row>
    <row r="81" spans="1:9" ht="15.75" x14ac:dyDescent="0.25">
      <c r="A81" s="164"/>
      <c r="B81" s="165">
        <f>DATE(23,1,1)</f>
        <v>8402</v>
      </c>
      <c r="C81" s="226">
        <v>47726825.700000003</v>
      </c>
      <c r="D81" s="226">
        <v>4734129.4000000004</v>
      </c>
      <c r="E81" s="226">
        <v>4884841.6900000004</v>
      </c>
      <c r="F81" s="166">
        <f t="shared" si="15"/>
        <v>-3.0853055137596491E-2</v>
      </c>
      <c r="G81" s="241">
        <f t="shared" si="16"/>
        <v>9.9192211729262361E-2</v>
      </c>
      <c r="H81" s="242">
        <f t="shared" si="17"/>
        <v>0.9008077882707376</v>
      </c>
      <c r="I81" s="157"/>
    </row>
    <row r="82" spans="1:9" ht="15.75" x14ac:dyDescent="0.25">
      <c r="A82" s="164"/>
      <c r="B82" s="165">
        <f>DATE(23,2,1)</f>
        <v>8433</v>
      </c>
      <c r="C82" s="226">
        <v>53205187.840000004</v>
      </c>
      <c r="D82" s="226">
        <v>5419047.3600000003</v>
      </c>
      <c r="E82" s="226">
        <v>4926896.7</v>
      </c>
      <c r="F82" s="166">
        <f t="shared" si="15"/>
        <v>9.9890598477536605E-2</v>
      </c>
      <c r="G82" s="241">
        <f t="shared" si="16"/>
        <v>0.10185186031663487</v>
      </c>
      <c r="H82" s="242">
        <f t="shared" si="17"/>
        <v>0.89814813968336515</v>
      </c>
      <c r="I82" s="157"/>
    </row>
    <row r="83" spans="1:9" ht="15.75" x14ac:dyDescent="0.25">
      <c r="A83" s="164"/>
      <c r="B83" s="165">
        <f>DATE(23,3,1)</f>
        <v>8461</v>
      </c>
      <c r="C83" s="226">
        <v>55977955.109999999</v>
      </c>
      <c r="D83" s="226">
        <v>5872959.04</v>
      </c>
      <c r="E83" s="226">
        <v>5781376.5800000001</v>
      </c>
      <c r="F83" s="166">
        <f t="shared" si="15"/>
        <v>1.5840943542203917E-2</v>
      </c>
      <c r="G83" s="241">
        <f t="shared" si="16"/>
        <v>0.10491556950337481</v>
      </c>
      <c r="H83" s="242">
        <f t="shared" si="17"/>
        <v>0.89508443049662523</v>
      </c>
      <c r="I83" s="157"/>
    </row>
    <row r="84" spans="1:9" ht="15.75" x14ac:dyDescent="0.25">
      <c r="A84" s="164"/>
      <c r="B84" s="165">
        <f>DATE(23,4,1)</f>
        <v>8492</v>
      </c>
      <c r="C84" s="226">
        <v>51917637.950000003</v>
      </c>
      <c r="D84" s="226">
        <v>5332993.75</v>
      </c>
      <c r="E84" s="226">
        <v>5577670.54</v>
      </c>
      <c r="F84" s="166">
        <f t="shared" si="15"/>
        <v>-4.3867200159154622E-2</v>
      </c>
      <c r="G84" s="241">
        <f t="shared" si="16"/>
        <v>0.10272026926833638</v>
      </c>
      <c r="H84" s="242">
        <f t="shared" si="17"/>
        <v>0.89727973073166356</v>
      </c>
      <c r="I84" s="157"/>
    </row>
    <row r="85" spans="1:9" ht="15.75" thickBot="1" x14ac:dyDescent="0.25">
      <c r="A85" s="167"/>
      <c r="B85" s="165"/>
      <c r="C85" s="226"/>
      <c r="D85" s="226"/>
      <c r="E85" s="226"/>
      <c r="F85" s="166"/>
      <c r="G85" s="241"/>
      <c r="H85" s="242"/>
      <c r="I85" s="157"/>
    </row>
    <row r="86" spans="1:9" ht="17.25" thickTop="1" thickBot="1" x14ac:dyDescent="0.3">
      <c r="A86" s="174" t="s">
        <v>14</v>
      </c>
      <c r="B86" s="175"/>
      <c r="C86" s="228">
        <f>SUM(C75:C85)</f>
        <v>498011327.33999997</v>
      </c>
      <c r="D86" s="230">
        <f>SUM(D75:D85)</f>
        <v>50764479.099999994</v>
      </c>
      <c r="E86" s="271">
        <f>SUM(E75:E85)</f>
        <v>53095815.93</v>
      </c>
      <c r="F86" s="272">
        <f>(+D86-E86)/E86</f>
        <v>-4.390810818452387E-2</v>
      </c>
      <c r="G86" s="249">
        <f>D86/C86</f>
        <v>0.10193438645491351</v>
      </c>
      <c r="H86" s="270">
        <f>1-G86</f>
        <v>0.89806561354508652</v>
      </c>
      <c r="I86" s="157"/>
    </row>
    <row r="87" spans="1:9" ht="15.75" thickTop="1" x14ac:dyDescent="0.2">
      <c r="A87" s="167"/>
      <c r="B87" s="168"/>
      <c r="C87" s="226"/>
      <c r="D87" s="226"/>
      <c r="E87" s="226"/>
      <c r="F87" s="166"/>
      <c r="G87" s="241"/>
      <c r="H87" s="242"/>
      <c r="I87" s="157"/>
    </row>
    <row r="88" spans="1:9" ht="15.75" x14ac:dyDescent="0.25">
      <c r="A88" s="290" t="s">
        <v>67</v>
      </c>
      <c r="B88" s="165">
        <f>DATE(22,7,1)</f>
        <v>8218</v>
      </c>
      <c r="C88" s="226">
        <v>85581160.400000006</v>
      </c>
      <c r="D88" s="226">
        <v>9654928.8200000003</v>
      </c>
      <c r="E88" s="226">
        <v>8446672.5700000003</v>
      </c>
      <c r="F88" s="166">
        <f t="shared" ref="F88:F97" si="18">(+D88-E88)/E88</f>
        <v>0.14304523349127524</v>
      </c>
      <c r="G88" s="241">
        <f t="shared" ref="G88:G97" si="19">D88/C88</f>
        <v>0.11281605408098673</v>
      </c>
      <c r="H88" s="242">
        <f t="shared" ref="H88:H97" si="20">1-G88</f>
        <v>0.88718394591901328</v>
      </c>
      <c r="I88" s="157"/>
    </row>
    <row r="89" spans="1:9" ht="15.75" x14ac:dyDescent="0.25">
      <c r="A89" s="290"/>
      <c r="B89" s="165">
        <f>DATE(22,8,1)</f>
        <v>8249</v>
      </c>
      <c r="C89" s="226">
        <v>82456263.290000007</v>
      </c>
      <c r="D89" s="226">
        <v>9270730.9700000007</v>
      </c>
      <c r="E89" s="226">
        <v>8803736.4399999995</v>
      </c>
      <c r="F89" s="166">
        <f t="shared" si="18"/>
        <v>5.304503754544488E-2</v>
      </c>
      <c r="G89" s="241">
        <f t="shared" si="19"/>
        <v>0.11243210157844154</v>
      </c>
      <c r="H89" s="242">
        <f t="shared" si="20"/>
        <v>0.88756789842155848</v>
      </c>
      <c r="I89" s="157"/>
    </row>
    <row r="90" spans="1:9" ht="15.75" x14ac:dyDescent="0.25">
      <c r="A90" s="290"/>
      <c r="B90" s="165">
        <f>DATE(22,9,1)</f>
        <v>8280</v>
      </c>
      <c r="C90" s="226">
        <v>81432452.090000004</v>
      </c>
      <c r="D90" s="226">
        <v>9440089.3000000007</v>
      </c>
      <c r="E90" s="226">
        <v>8914995.2300000004</v>
      </c>
      <c r="F90" s="166">
        <f t="shared" si="18"/>
        <v>5.8900095451873871E-2</v>
      </c>
      <c r="G90" s="241">
        <f t="shared" si="19"/>
        <v>0.11592539654297422</v>
      </c>
      <c r="H90" s="242">
        <f t="shared" si="20"/>
        <v>0.88407460345702582</v>
      </c>
      <c r="I90" s="157"/>
    </row>
    <row r="91" spans="1:9" ht="15.75" x14ac:dyDescent="0.25">
      <c r="A91" s="290"/>
      <c r="B91" s="165">
        <f>DATE(22,10,1)</f>
        <v>8310</v>
      </c>
      <c r="C91" s="226">
        <v>82324119.659999996</v>
      </c>
      <c r="D91" s="226">
        <v>9283650.1199999992</v>
      </c>
      <c r="E91" s="226">
        <v>9230867.6699999999</v>
      </c>
      <c r="F91" s="166">
        <f t="shared" si="18"/>
        <v>5.7180377714156159E-3</v>
      </c>
      <c r="G91" s="241">
        <f t="shared" si="19"/>
        <v>0.11276950374132916</v>
      </c>
      <c r="H91" s="242">
        <f t="shared" si="20"/>
        <v>0.88723049625867079</v>
      </c>
      <c r="I91" s="157"/>
    </row>
    <row r="92" spans="1:9" ht="15.75" x14ac:dyDescent="0.25">
      <c r="A92" s="290"/>
      <c r="B92" s="165">
        <f>DATE(22,11,1)</f>
        <v>8341</v>
      </c>
      <c r="C92" s="226">
        <v>82659962.180000007</v>
      </c>
      <c r="D92" s="226">
        <v>9336104.8499999996</v>
      </c>
      <c r="E92" s="226">
        <v>8512217.6799999997</v>
      </c>
      <c r="F92" s="166">
        <f t="shared" si="18"/>
        <v>9.6788780664735063E-2</v>
      </c>
      <c r="G92" s="241">
        <f t="shared" si="19"/>
        <v>0.112945912431822</v>
      </c>
      <c r="H92" s="242">
        <f t="shared" si="20"/>
        <v>0.88705408756817805</v>
      </c>
      <c r="I92" s="157"/>
    </row>
    <row r="93" spans="1:9" ht="15.75" x14ac:dyDescent="0.25">
      <c r="A93" s="290"/>
      <c r="B93" s="165">
        <f>DATE(22,12,1)</f>
        <v>8371</v>
      </c>
      <c r="C93" s="226">
        <v>88513153.280000001</v>
      </c>
      <c r="D93" s="226">
        <v>9794618.4299999997</v>
      </c>
      <c r="E93" s="226">
        <v>9265401.0800000001</v>
      </c>
      <c r="F93" s="166">
        <f t="shared" si="18"/>
        <v>5.7117586754269208E-2</v>
      </c>
      <c r="G93" s="241">
        <f t="shared" si="19"/>
        <v>0.11065720818934087</v>
      </c>
      <c r="H93" s="242">
        <f t="shared" si="20"/>
        <v>0.88934279181065912</v>
      </c>
      <c r="I93" s="157"/>
    </row>
    <row r="94" spans="1:9" ht="15.75" x14ac:dyDescent="0.25">
      <c r="A94" s="290"/>
      <c r="B94" s="165">
        <f>DATE(23,1,1)</f>
        <v>8402</v>
      </c>
      <c r="C94" s="226">
        <v>86885608.790000007</v>
      </c>
      <c r="D94" s="226">
        <v>9804638.4499999993</v>
      </c>
      <c r="E94" s="226">
        <v>8004296.7699999996</v>
      </c>
      <c r="F94" s="166">
        <f t="shared" si="18"/>
        <v>0.22492190528812686</v>
      </c>
      <c r="G94" s="241">
        <f t="shared" si="19"/>
        <v>0.112845367449718</v>
      </c>
      <c r="H94" s="242">
        <f t="shared" si="20"/>
        <v>0.88715463255028204</v>
      </c>
      <c r="I94" s="157"/>
    </row>
    <row r="95" spans="1:9" ht="15.75" x14ac:dyDescent="0.25">
      <c r="A95" s="290"/>
      <c r="B95" s="165">
        <f>DATE(23,2,1)</f>
        <v>8433</v>
      </c>
      <c r="C95" s="226">
        <v>83528330.400000006</v>
      </c>
      <c r="D95" s="226">
        <v>9413288.1199999992</v>
      </c>
      <c r="E95" s="226">
        <v>8308096.3399999999</v>
      </c>
      <c r="F95" s="166">
        <f t="shared" si="18"/>
        <v>0.13302587437256408</v>
      </c>
      <c r="G95" s="241">
        <f t="shared" si="19"/>
        <v>0.11269575334406538</v>
      </c>
      <c r="H95" s="242">
        <f t="shared" si="20"/>
        <v>0.88730424665593466</v>
      </c>
      <c r="I95" s="157"/>
    </row>
    <row r="96" spans="1:9" ht="15.75" x14ac:dyDescent="0.25">
      <c r="A96" s="290"/>
      <c r="B96" s="165">
        <f>DATE(23,3,1)</f>
        <v>8461</v>
      </c>
      <c r="C96" s="226">
        <v>95091766.299999997</v>
      </c>
      <c r="D96" s="226">
        <v>10565430.359999999</v>
      </c>
      <c r="E96" s="226">
        <v>10191834.039999999</v>
      </c>
      <c r="F96" s="166">
        <f t="shared" si="18"/>
        <v>3.6656436764349071E-2</v>
      </c>
      <c r="G96" s="241">
        <f t="shared" si="19"/>
        <v>0.11110773068056892</v>
      </c>
      <c r="H96" s="242">
        <f t="shared" si="20"/>
        <v>0.88889226931943111</v>
      </c>
      <c r="I96" s="157"/>
    </row>
    <row r="97" spans="1:9" ht="15.75" x14ac:dyDescent="0.25">
      <c r="A97" s="290"/>
      <c r="B97" s="165">
        <f>DATE(23,4,1)</f>
        <v>8492</v>
      </c>
      <c r="C97" s="226">
        <v>87982268.810000002</v>
      </c>
      <c r="D97" s="226">
        <v>9866273.8699999992</v>
      </c>
      <c r="E97" s="226">
        <v>9948758.6600000001</v>
      </c>
      <c r="F97" s="166">
        <f t="shared" si="18"/>
        <v>-8.2909630054289578E-3</v>
      </c>
      <c r="G97" s="241">
        <f t="shared" si="19"/>
        <v>0.11213934356826458</v>
      </c>
      <c r="H97" s="242">
        <f t="shared" si="20"/>
        <v>0.8878606564317354</v>
      </c>
      <c r="I97" s="157"/>
    </row>
    <row r="98" spans="1:9" ht="15.75" thickBot="1" x14ac:dyDescent="0.25">
      <c r="A98" s="167"/>
      <c r="B98" s="165"/>
      <c r="C98" s="226"/>
      <c r="D98" s="226"/>
      <c r="E98" s="226"/>
      <c r="F98" s="166"/>
      <c r="G98" s="241"/>
      <c r="H98" s="242"/>
      <c r="I98" s="157"/>
    </row>
    <row r="99" spans="1:9" ht="17.25" thickTop="1" thickBot="1" x14ac:dyDescent="0.3">
      <c r="A99" s="174" t="s">
        <v>14</v>
      </c>
      <c r="B99" s="175"/>
      <c r="C99" s="228">
        <f>SUM(C88:C98)</f>
        <v>856455085.19999981</v>
      </c>
      <c r="D99" s="230">
        <f>SUM(D88:D98)</f>
        <v>96429753.290000007</v>
      </c>
      <c r="E99" s="271">
        <f>SUM(E88:E98)</f>
        <v>89626876.479999989</v>
      </c>
      <c r="F99" s="272">
        <f>(+D99-E99)/E99</f>
        <v>7.5902196720177589E-2</v>
      </c>
      <c r="G99" s="249">
        <f>D99/C99</f>
        <v>0.11259172250402563</v>
      </c>
      <c r="H99" s="270">
        <f>1-G99</f>
        <v>0.8874082774959744</v>
      </c>
      <c r="I99" s="157"/>
    </row>
    <row r="100" spans="1:9" ht="15.75" thickTop="1" x14ac:dyDescent="0.2">
      <c r="A100" s="167"/>
      <c r="B100" s="168"/>
      <c r="C100" s="226"/>
      <c r="D100" s="226"/>
      <c r="E100" s="226"/>
      <c r="F100" s="166"/>
      <c r="G100" s="241"/>
      <c r="H100" s="242"/>
      <c r="I100" s="157"/>
    </row>
    <row r="101" spans="1:9" ht="15.75" x14ac:dyDescent="0.25">
      <c r="A101" s="164" t="s">
        <v>69</v>
      </c>
      <c r="B101" s="165">
        <f>DATE(22,7,1)</f>
        <v>8218</v>
      </c>
      <c r="C101" s="226">
        <v>115913733.48</v>
      </c>
      <c r="D101" s="226">
        <v>11762621.74</v>
      </c>
      <c r="E101" s="226">
        <v>13534455.82</v>
      </c>
      <c r="F101" s="166">
        <f t="shared" ref="F101:F110" si="21">(+D101-E101)/E101</f>
        <v>-0.13091284227192521</v>
      </c>
      <c r="G101" s="241">
        <f t="shared" ref="G101:G110" si="22">D101/C101</f>
        <v>0.10147737793321572</v>
      </c>
      <c r="H101" s="242">
        <f t="shared" ref="H101:H110" si="23">1-G101</f>
        <v>0.89852262206678424</v>
      </c>
      <c r="I101" s="157"/>
    </row>
    <row r="102" spans="1:9" ht="15.75" x14ac:dyDescent="0.25">
      <c r="A102" s="164"/>
      <c r="B102" s="165">
        <f>DATE(22,8,1)</f>
        <v>8249</v>
      </c>
      <c r="C102" s="226">
        <v>120866905.95999999</v>
      </c>
      <c r="D102" s="226">
        <v>12540537.029999999</v>
      </c>
      <c r="E102" s="226">
        <v>11799607.16</v>
      </c>
      <c r="F102" s="166">
        <f t="shared" si="21"/>
        <v>6.2792757415832401E-2</v>
      </c>
      <c r="G102" s="241">
        <f t="shared" si="22"/>
        <v>0.10375492721018438</v>
      </c>
      <c r="H102" s="242">
        <f t="shared" si="23"/>
        <v>0.89624507278981558</v>
      </c>
      <c r="I102" s="157"/>
    </row>
    <row r="103" spans="1:9" ht="15.75" x14ac:dyDescent="0.25">
      <c r="A103" s="164"/>
      <c r="B103" s="165">
        <f>DATE(22,9,1)</f>
        <v>8280</v>
      </c>
      <c r="C103" s="226">
        <v>118707239.62</v>
      </c>
      <c r="D103" s="226">
        <v>12203478.51</v>
      </c>
      <c r="E103" s="226">
        <v>11262305.48</v>
      </c>
      <c r="F103" s="166">
        <f t="shared" si="21"/>
        <v>8.3568416046906874E-2</v>
      </c>
      <c r="G103" s="241">
        <f t="shared" si="22"/>
        <v>0.10280315294218952</v>
      </c>
      <c r="H103" s="242">
        <f t="shared" si="23"/>
        <v>0.89719684705781044</v>
      </c>
      <c r="I103" s="157"/>
    </row>
    <row r="104" spans="1:9" ht="15.75" x14ac:dyDescent="0.25">
      <c r="A104" s="164"/>
      <c r="B104" s="165">
        <f>DATE(22,10,1)</f>
        <v>8310</v>
      </c>
      <c r="C104" s="226">
        <v>112671486.7</v>
      </c>
      <c r="D104" s="226">
        <v>11570843.18</v>
      </c>
      <c r="E104" s="226">
        <v>11850584.039999999</v>
      </c>
      <c r="F104" s="166">
        <f t="shared" si="21"/>
        <v>-2.3605660198330564E-2</v>
      </c>
      <c r="G104" s="241">
        <f t="shared" si="22"/>
        <v>0.10269539808956829</v>
      </c>
      <c r="H104" s="242">
        <f t="shared" si="23"/>
        <v>0.89730460191043171</v>
      </c>
      <c r="I104" s="157"/>
    </row>
    <row r="105" spans="1:9" ht="15.75" x14ac:dyDescent="0.25">
      <c r="A105" s="164"/>
      <c r="B105" s="165">
        <f>DATE(22,11,1)</f>
        <v>8341</v>
      </c>
      <c r="C105" s="226">
        <v>102848583.43000001</v>
      </c>
      <c r="D105" s="226">
        <v>10635557.710000001</v>
      </c>
      <c r="E105" s="226">
        <v>10537202.82</v>
      </c>
      <c r="F105" s="166">
        <f t="shared" si="21"/>
        <v>9.3340606307130564E-3</v>
      </c>
      <c r="G105" s="241">
        <f t="shared" si="22"/>
        <v>0.10340986093638023</v>
      </c>
      <c r="H105" s="242">
        <f t="shared" si="23"/>
        <v>0.89659013906361973</v>
      </c>
      <c r="I105" s="157"/>
    </row>
    <row r="106" spans="1:9" ht="15.75" x14ac:dyDescent="0.25">
      <c r="A106" s="164"/>
      <c r="B106" s="165">
        <f>DATE(22,12,1)</f>
        <v>8371</v>
      </c>
      <c r="C106" s="226">
        <v>110332938.22</v>
      </c>
      <c r="D106" s="226">
        <v>11765807.74</v>
      </c>
      <c r="E106" s="226">
        <v>11616287.57</v>
      </c>
      <c r="F106" s="166">
        <f t="shared" si="21"/>
        <v>1.2871596807412709E-2</v>
      </c>
      <c r="G106" s="241">
        <f t="shared" si="22"/>
        <v>0.10663912272996295</v>
      </c>
      <c r="H106" s="242">
        <f t="shared" si="23"/>
        <v>0.89336087727003699</v>
      </c>
      <c r="I106" s="157"/>
    </row>
    <row r="107" spans="1:9" ht="15.75" x14ac:dyDescent="0.25">
      <c r="A107" s="164"/>
      <c r="B107" s="165">
        <f>DATE(23,1,1)</f>
        <v>8402</v>
      </c>
      <c r="C107" s="226">
        <v>104231904.06999999</v>
      </c>
      <c r="D107" s="226">
        <v>10527686.77</v>
      </c>
      <c r="E107" s="226">
        <v>9767141.9800000004</v>
      </c>
      <c r="F107" s="166">
        <f t="shared" si="21"/>
        <v>7.7867690626116925E-2</v>
      </c>
      <c r="G107" s="241">
        <f t="shared" si="22"/>
        <v>0.10100253721672227</v>
      </c>
      <c r="H107" s="242">
        <f t="shared" si="23"/>
        <v>0.89899746278327775</v>
      </c>
      <c r="I107" s="157"/>
    </row>
    <row r="108" spans="1:9" ht="15.75" x14ac:dyDescent="0.25">
      <c r="A108" s="164"/>
      <c r="B108" s="165">
        <f>DATE(23,2,1)</f>
        <v>8433</v>
      </c>
      <c r="C108" s="226">
        <v>108269385.65000001</v>
      </c>
      <c r="D108" s="226">
        <v>11416592.51</v>
      </c>
      <c r="E108" s="226">
        <v>10322075.949999999</v>
      </c>
      <c r="F108" s="166">
        <f t="shared" si="21"/>
        <v>0.10603647612184064</v>
      </c>
      <c r="G108" s="241">
        <f t="shared" si="22"/>
        <v>0.10544617429442299</v>
      </c>
      <c r="H108" s="242">
        <f t="shared" si="23"/>
        <v>0.89455382570557695</v>
      </c>
      <c r="I108" s="157"/>
    </row>
    <row r="109" spans="1:9" ht="15.75" x14ac:dyDescent="0.25">
      <c r="A109" s="164"/>
      <c r="B109" s="165">
        <f>DATE(23,3,1)</f>
        <v>8461</v>
      </c>
      <c r="C109" s="226">
        <v>122084471.45</v>
      </c>
      <c r="D109" s="226">
        <v>13000522.43</v>
      </c>
      <c r="E109" s="226">
        <v>13047812.960000001</v>
      </c>
      <c r="F109" s="166">
        <f t="shared" si="21"/>
        <v>-3.6244028133279732E-3</v>
      </c>
      <c r="G109" s="241">
        <f t="shared" si="22"/>
        <v>0.10648792819916</v>
      </c>
      <c r="H109" s="242">
        <f t="shared" si="23"/>
        <v>0.89351207180084002</v>
      </c>
      <c r="I109" s="157"/>
    </row>
    <row r="110" spans="1:9" ht="15.75" x14ac:dyDescent="0.25">
      <c r="A110" s="164"/>
      <c r="B110" s="165">
        <f>DATE(23,4,1)</f>
        <v>8492</v>
      </c>
      <c r="C110" s="226">
        <v>116289484.63</v>
      </c>
      <c r="D110" s="226">
        <v>12012834.470000001</v>
      </c>
      <c r="E110" s="226">
        <v>11513326.960000001</v>
      </c>
      <c r="F110" s="166">
        <f t="shared" si="21"/>
        <v>4.3385158063816487E-2</v>
      </c>
      <c r="G110" s="241">
        <f t="shared" si="22"/>
        <v>0.10330112398572766</v>
      </c>
      <c r="H110" s="242">
        <f t="shared" si="23"/>
        <v>0.89669887601427234</v>
      </c>
      <c r="I110" s="157"/>
    </row>
    <row r="111" spans="1:9" ht="15.75" thickBot="1" x14ac:dyDescent="0.25">
      <c r="A111" s="167"/>
      <c r="B111" s="165"/>
      <c r="C111" s="226"/>
      <c r="D111" s="226"/>
      <c r="E111" s="226"/>
      <c r="F111" s="166"/>
      <c r="G111" s="241"/>
      <c r="H111" s="242"/>
      <c r="I111" s="157"/>
    </row>
    <row r="112" spans="1:9" ht="17.25" thickTop="1" thickBot="1" x14ac:dyDescent="0.3">
      <c r="A112" s="174" t="s">
        <v>14</v>
      </c>
      <c r="B112" s="175"/>
      <c r="C112" s="228">
        <f>SUM(C101:C111)</f>
        <v>1132216133.21</v>
      </c>
      <c r="D112" s="230">
        <f>SUM(D101:D111)</f>
        <v>117436482.09</v>
      </c>
      <c r="E112" s="271">
        <f>SUM(E101:E111)</f>
        <v>115250800.74000001</v>
      </c>
      <c r="F112" s="176">
        <f>(+D112-E112)/E112</f>
        <v>1.896456541704019E-2</v>
      </c>
      <c r="G112" s="249">
        <f>D112/C112</f>
        <v>0.10372267153361454</v>
      </c>
      <c r="H112" s="270">
        <f>1-G112</f>
        <v>0.89627732846638541</v>
      </c>
      <c r="I112" s="157"/>
    </row>
    <row r="113" spans="1:9" ht="15.75" thickTop="1" x14ac:dyDescent="0.2">
      <c r="A113" s="167"/>
      <c r="B113" s="179"/>
      <c r="C113" s="229"/>
      <c r="D113" s="229"/>
      <c r="E113" s="229"/>
      <c r="F113" s="180"/>
      <c r="G113" s="247"/>
      <c r="H113" s="248"/>
      <c r="I113" s="157"/>
    </row>
    <row r="114" spans="1:9" ht="15.75" x14ac:dyDescent="0.25">
      <c r="A114" s="164" t="s">
        <v>16</v>
      </c>
      <c r="B114" s="165">
        <f>DATE(22,7,1)</f>
        <v>8218</v>
      </c>
      <c r="C114" s="226">
        <v>164331221.16</v>
      </c>
      <c r="D114" s="226">
        <v>15914314.48</v>
      </c>
      <c r="E114" s="226">
        <v>16148799.359999999</v>
      </c>
      <c r="F114" s="166">
        <f t="shared" ref="F114:F123" si="24">(+D114-E114)/E114</f>
        <v>-1.4520267096810284E-2</v>
      </c>
      <c r="G114" s="241">
        <f t="shared" ref="G114:G123" si="25">D114/C114</f>
        <v>9.6842914983910053E-2</v>
      </c>
      <c r="H114" s="242">
        <f t="shared" ref="H114:H123" si="26">1-G114</f>
        <v>0.90315708501608993</v>
      </c>
      <c r="I114" s="157"/>
    </row>
    <row r="115" spans="1:9" ht="15.75" x14ac:dyDescent="0.25">
      <c r="A115" s="164"/>
      <c r="B115" s="165">
        <f>DATE(22,8,1)</f>
        <v>8249</v>
      </c>
      <c r="C115" s="226">
        <v>151296993.62</v>
      </c>
      <c r="D115" s="226">
        <v>14340389.18</v>
      </c>
      <c r="E115" s="226">
        <v>14007269.199999999</v>
      </c>
      <c r="F115" s="166">
        <f t="shared" si="24"/>
        <v>2.3781936025046229E-2</v>
      </c>
      <c r="G115" s="241">
        <f t="shared" si="25"/>
        <v>9.4783041201846718E-2</v>
      </c>
      <c r="H115" s="242">
        <f t="shared" si="26"/>
        <v>0.90521695879815334</v>
      </c>
      <c r="I115" s="157"/>
    </row>
    <row r="116" spans="1:9" ht="15.75" x14ac:dyDescent="0.25">
      <c r="A116" s="164"/>
      <c r="B116" s="165">
        <f>DATE(22,9,1)</f>
        <v>8280</v>
      </c>
      <c r="C116" s="226">
        <v>150060402.08000001</v>
      </c>
      <c r="D116" s="226">
        <v>15068846.289999999</v>
      </c>
      <c r="E116" s="226">
        <v>13534117.949999999</v>
      </c>
      <c r="F116" s="166">
        <f t="shared" si="24"/>
        <v>0.11339699754870246</v>
      </c>
      <c r="G116" s="241">
        <f t="shared" si="25"/>
        <v>0.10041853867595607</v>
      </c>
      <c r="H116" s="242">
        <f t="shared" si="26"/>
        <v>0.89958146132404393</v>
      </c>
      <c r="I116" s="157"/>
    </row>
    <row r="117" spans="1:9" ht="15.75" x14ac:dyDescent="0.25">
      <c r="A117" s="164"/>
      <c r="B117" s="165">
        <f>DATE(22,10,1)</f>
        <v>8310</v>
      </c>
      <c r="C117" s="226">
        <v>151075922.59</v>
      </c>
      <c r="D117" s="226">
        <v>14552868.960000001</v>
      </c>
      <c r="E117" s="226">
        <v>14717532.77</v>
      </c>
      <c r="F117" s="166">
        <f t="shared" si="24"/>
        <v>-1.1188275410919888E-2</v>
      </c>
      <c r="G117" s="241">
        <f t="shared" si="25"/>
        <v>9.632818195321935E-2</v>
      </c>
      <c r="H117" s="242">
        <f t="shared" si="26"/>
        <v>0.90367181804678065</v>
      </c>
      <c r="I117" s="157"/>
    </row>
    <row r="118" spans="1:9" ht="15.75" x14ac:dyDescent="0.25">
      <c r="A118" s="164"/>
      <c r="B118" s="165">
        <f>DATE(22,11,1)</f>
        <v>8341</v>
      </c>
      <c r="C118" s="226">
        <v>137208695.11000001</v>
      </c>
      <c r="D118" s="226">
        <v>13319735.5</v>
      </c>
      <c r="E118" s="226">
        <v>13812980.33</v>
      </c>
      <c r="F118" s="166">
        <f t="shared" si="24"/>
        <v>-3.5708791167155744E-2</v>
      </c>
      <c r="G118" s="241">
        <f t="shared" si="25"/>
        <v>9.7076467998777977E-2</v>
      </c>
      <c r="H118" s="242">
        <f t="shared" si="26"/>
        <v>0.902923532001222</v>
      </c>
      <c r="I118" s="157"/>
    </row>
    <row r="119" spans="1:9" ht="15.75" x14ac:dyDescent="0.25">
      <c r="A119" s="164"/>
      <c r="B119" s="165">
        <f>DATE(22,12,1)</f>
        <v>8371</v>
      </c>
      <c r="C119" s="226">
        <v>151544462.93000001</v>
      </c>
      <c r="D119" s="226">
        <v>14436386.73</v>
      </c>
      <c r="E119" s="226">
        <v>14881396.939999999</v>
      </c>
      <c r="F119" s="166">
        <f t="shared" si="24"/>
        <v>-2.9903792755090575E-2</v>
      </c>
      <c r="G119" s="241">
        <f t="shared" si="25"/>
        <v>9.526172352907622E-2</v>
      </c>
      <c r="H119" s="242">
        <f t="shared" si="26"/>
        <v>0.90473827647092375</v>
      </c>
      <c r="I119" s="157"/>
    </row>
    <row r="120" spans="1:9" ht="15.75" x14ac:dyDescent="0.25">
      <c r="A120" s="164"/>
      <c r="B120" s="165">
        <f>DATE(23,1,1)</f>
        <v>8402</v>
      </c>
      <c r="C120" s="226">
        <v>145201607.59</v>
      </c>
      <c r="D120" s="226">
        <v>13555175.18</v>
      </c>
      <c r="E120" s="226">
        <v>13218577.91</v>
      </c>
      <c r="F120" s="166">
        <f t="shared" si="24"/>
        <v>2.5463954768187282E-2</v>
      </c>
      <c r="G120" s="241">
        <f t="shared" si="25"/>
        <v>9.3354167388251016E-2</v>
      </c>
      <c r="H120" s="242">
        <f t="shared" si="26"/>
        <v>0.90664583261174903</v>
      </c>
      <c r="I120" s="157"/>
    </row>
    <row r="121" spans="1:9" ht="15.75" x14ac:dyDescent="0.25">
      <c r="A121" s="164"/>
      <c r="B121" s="165">
        <f>DATE(23,2,1)</f>
        <v>8433</v>
      </c>
      <c r="C121" s="226">
        <v>147866556.63</v>
      </c>
      <c r="D121" s="226">
        <v>14262692.57</v>
      </c>
      <c r="E121" s="226">
        <v>14110740.529999999</v>
      </c>
      <c r="F121" s="166">
        <f t="shared" si="24"/>
        <v>1.0768537602753366E-2</v>
      </c>
      <c r="G121" s="241">
        <f t="shared" si="25"/>
        <v>9.6456513866681234E-2</v>
      </c>
      <c r="H121" s="242">
        <f t="shared" si="26"/>
        <v>0.90354348613331881</v>
      </c>
      <c r="I121" s="157"/>
    </row>
    <row r="122" spans="1:9" ht="15.75" x14ac:dyDescent="0.25">
      <c r="A122" s="164"/>
      <c r="B122" s="165">
        <f>DATE(23,3,1)</f>
        <v>8461</v>
      </c>
      <c r="C122" s="226">
        <v>171301853.22</v>
      </c>
      <c r="D122" s="226">
        <v>16320245.869999999</v>
      </c>
      <c r="E122" s="226">
        <v>16088302.82</v>
      </c>
      <c r="F122" s="166">
        <f t="shared" si="24"/>
        <v>1.4416874955365795E-2</v>
      </c>
      <c r="G122" s="241">
        <f t="shared" si="25"/>
        <v>9.5271858203659895E-2</v>
      </c>
      <c r="H122" s="242">
        <f t="shared" si="26"/>
        <v>0.90472814179634009</v>
      </c>
      <c r="I122" s="157"/>
    </row>
    <row r="123" spans="1:9" ht="15.75" x14ac:dyDescent="0.25">
      <c r="A123" s="164"/>
      <c r="B123" s="165">
        <f>DATE(23,4,1)</f>
        <v>8492</v>
      </c>
      <c r="C123" s="226">
        <v>156772960.97999999</v>
      </c>
      <c r="D123" s="226">
        <v>15426763.890000001</v>
      </c>
      <c r="E123" s="226">
        <v>16169410.210000001</v>
      </c>
      <c r="F123" s="166">
        <f t="shared" si="24"/>
        <v>-4.5929091435920735E-2</v>
      </c>
      <c r="G123" s="241">
        <f t="shared" si="25"/>
        <v>9.840194248782505E-2</v>
      </c>
      <c r="H123" s="242">
        <f t="shared" si="26"/>
        <v>0.90159805751217492</v>
      </c>
      <c r="I123" s="157"/>
    </row>
    <row r="124" spans="1:9" ht="15.75" customHeight="1" thickBot="1" x14ac:dyDescent="0.3">
      <c r="A124" s="164"/>
      <c r="B124" s="165"/>
      <c r="C124" s="226"/>
      <c r="D124" s="226"/>
      <c r="E124" s="226"/>
      <c r="F124" s="166"/>
      <c r="G124" s="241"/>
      <c r="H124" s="242"/>
      <c r="I124" s="157"/>
    </row>
    <row r="125" spans="1:9" ht="17.25" thickTop="1" thickBot="1" x14ac:dyDescent="0.3">
      <c r="A125" s="174" t="s">
        <v>14</v>
      </c>
      <c r="B125" s="181"/>
      <c r="C125" s="228">
        <f>SUM(C114:C124)</f>
        <v>1526660675.9100001</v>
      </c>
      <c r="D125" s="228">
        <f>SUM(D114:D124)</f>
        <v>147197418.64999998</v>
      </c>
      <c r="E125" s="228">
        <f>SUM(E114:E124)</f>
        <v>146689128.02000001</v>
      </c>
      <c r="F125" s="176">
        <f>(+D125-E125)/E125</f>
        <v>3.4650872689805864E-3</v>
      </c>
      <c r="G125" s="245">
        <f>D125/C125</f>
        <v>9.6417901484401353E-2</v>
      </c>
      <c r="H125" s="246">
        <f>1-G125</f>
        <v>0.90358209851559868</v>
      </c>
      <c r="I125" s="157"/>
    </row>
    <row r="126" spans="1:9" ht="15.75" thickTop="1" x14ac:dyDescent="0.2">
      <c r="A126" s="171"/>
      <c r="B126" s="172"/>
      <c r="C126" s="227"/>
      <c r="D126" s="227"/>
      <c r="E126" s="227"/>
      <c r="F126" s="173"/>
      <c r="G126" s="243"/>
      <c r="H126" s="244"/>
      <c r="I126" s="157"/>
    </row>
    <row r="127" spans="1:9" ht="15.75" x14ac:dyDescent="0.25">
      <c r="A127" s="164" t="s">
        <v>53</v>
      </c>
      <c r="B127" s="165">
        <f>DATE(22,7,1)</f>
        <v>8218</v>
      </c>
      <c r="C127" s="226">
        <v>217334773.96000001</v>
      </c>
      <c r="D127" s="226">
        <v>19656587.449999999</v>
      </c>
      <c r="E127" s="226">
        <v>17635283.719999999</v>
      </c>
      <c r="F127" s="166">
        <f t="shared" ref="F127:F136" si="27">(+D127-E127)/E127</f>
        <v>0.1146170235814046</v>
      </c>
      <c r="G127" s="241">
        <f t="shared" ref="G127:G136" si="28">D127/C127</f>
        <v>9.0443821261745036E-2</v>
      </c>
      <c r="H127" s="242">
        <f t="shared" ref="H127:H136" si="29">1-G127</f>
        <v>0.90955617873825501</v>
      </c>
      <c r="I127" s="157"/>
    </row>
    <row r="128" spans="1:9" ht="15.75" x14ac:dyDescent="0.25">
      <c r="A128" s="164"/>
      <c r="B128" s="165">
        <f>DATE(22,8,1)</f>
        <v>8249</v>
      </c>
      <c r="C128" s="226">
        <v>200475281.66999999</v>
      </c>
      <c r="D128" s="226">
        <v>17776767.91</v>
      </c>
      <c r="E128" s="226">
        <v>17152915.09</v>
      </c>
      <c r="F128" s="166">
        <f t="shared" si="27"/>
        <v>3.637007568257019E-2</v>
      </c>
      <c r="G128" s="241">
        <f t="shared" si="28"/>
        <v>8.8673116016677461E-2</v>
      </c>
      <c r="H128" s="242">
        <f t="shared" si="29"/>
        <v>0.91132688398332251</v>
      </c>
      <c r="I128" s="157"/>
    </row>
    <row r="129" spans="1:9" ht="15.75" x14ac:dyDescent="0.25">
      <c r="A129" s="164"/>
      <c r="B129" s="165">
        <f>DATE(22,9,1)</f>
        <v>8280</v>
      </c>
      <c r="C129" s="226">
        <v>196574841.52000001</v>
      </c>
      <c r="D129" s="226">
        <v>17845168.100000001</v>
      </c>
      <c r="E129" s="226">
        <v>16762718.67</v>
      </c>
      <c r="F129" s="166">
        <f t="shared" si="27"/>
        <v>6.4574813388549313E-2</v>
      </c>
      <c r="G129" s="241">
        <f t="shared" si="28"/>
        <v>9.0780528993504944E-2</v>
      </c>
      <c r="H129" s="242">
        <f t="shared" si="29"/>
        <v>0.90921947100649503</v>
      </c>
      <c r="I129" s="157"/>
    </row>
    <row r="130" spans="1:9" ht="15.75" x14ac:dyDescent="0.25">
      <c r="A130" s="164"/>
      <c r="B130" s="165">
        <f>DATE(22,10,1)</f>
        <v>8310</v>
      </c>
      <c r="C130" s="226">
        <v>198946815.71000001</v>
      </c>
      <c r="D130" s="226">
        <v>17788599.370000001</v>
      </c>
      <c r="E130" s="226">
        <v>18368300.02</v>
      </c>
      <c r="F130" s="166">
        <f t="shared" si="27"/>
        <v>-3.1559842193823143E-2</v>
      </c>
      <c r="G130" s="241">
        <f t="shared" si="28"/>
        <v>8.9413843124435899E-2</v>
      </c>
      <c r="H130" s="242">
        <f t="shared" si="29"/>
        <v>0.9105861568755641</v>
      </c>
      <c r="I130" s="157"/>
    </row>
    <row r="131" spans="1:9" ht="15.75" x14ac:dyDescent="0.25">
      <c r="A131" s="164"/>
      <c r="B131" s="165">
        <f>DATE(22,11,1)</f>
        <v>8341</v>
      </c>
      <c r="C131" s="226">
        <v>191380410.94</v>
      </c>
      <c r="D131" s="226">
        <v>17618885.149999999</v>
      </c>
      <c r="E131" s="226">
        <v>17099113.550000001</v>
      </c>
      <c r="F131" s="166">
        <f t="shared" si="27"/>
        <v>3.039757578544168E-2</v>
      </c>
      <c r="G131" s="241">
        <f t="shared" si="28"/>
        <v>9.206211369001463E-2</v>
      </c>
      <c r="H131" s="242">
        <f t="shared" si="29"/>
        <v>0.9079378863099854</v>
      </c>
      <c r="I131" s="157"/>
    </row>
    <row r="132" spans="1:9" ht="15.75" x14ac:dyDescent="0.25">
      <c r="A132" s="164"/>
      <c r="B132" s="165">
        <f>DATE(22,12,1)</f>
        <v>8371</v>
      </c>
      <c r="C132" s="226">
        <v>201934623.12</v>
      </c>
      <c r="D132" s="226">
        <v>18411025.469999999</v>
      </c>
      <c r="E132" s="226">
        <v>18695924.300000001</v>
      </c>
      <c r="F132" s="166">
        <f t="shared" si="27"/>
        <v>-1.5238552821911134E-2</v>
      </c>
      <c r="G132" s="241">
        <f t="shared" si="28"/>
        <v>9.1173198461658625E-2</v>
      </c>
      <c r="H132" s="242">
        <f t="shared" si="29"/>
        <v>0.90882680153834139</v>
      </c>
      <c r="I132" s="157"/>
    </row>
    <row r="133" spans="1:9" ht="15.75" x14ac:dyDescent="0.25">
      <c r="A133" s="164"/>
      <c r="B133" s="165">
        <f>DATE(23,1,1)</f>
        <v>8402</v>
      </c>
      <c r="C133" s="226">
        <v>195259128.19</v>
      </c>
      <c r="D133" s="226">
        <v>17516119.75</v>
      </c>
      <c r="E133" s="226">
        <v>16268714.699999999</v>
      </c>
      <c r="F133" s="166">
        <f t="shared" si="27"/>
        <v>7.6675083004559719E-2</v>
      </c>
      <c r="G133" s="241">
        <f t="shared" si="28"/>
        <v>8.9707046796581313E-2</v>
      </c>
      <c r="H133" s="242">
        <f t="shared" si="29"/>
        <v>0.91029295320341874</v>
      </c>
      <c r="I133" s="157"/>
    </row>
    <row r="134" spans="1:9" ht="15.75" x14ac:dyDescent="0.25">
      <c r="A134" s="164"/>
      <c r="B134" s="165">
        <f>DATE(23,2,1)</f>
        <v>8433</v>
      </c>
      <c r="C134" s="226">
        <v>198838074.74000001</v>
      </c>
      <c r="D134" s="226">
        <v>18048053.239999998</v>
      </c>
      <c r="E134" s="226">
        <v>16850587.23</v>
      </c>
      <c r="F134" s="166">
        <f t="shared" si="27"/>
        <v>7.1063755443969645E-2</v>
      </c>
      <c r="G134" s="241">
        <f t="shared" si="28"/>
        <v>9.0767591989610499E-2</v>
      </c>
      <c r="H134" s="242">
        <f t="shared" si="29"/>
        <v>0.90923240801038951</v>
      </c>
      <c r="I134" s="157"/>
    </row>
    <row r="135" spans="1:9" ht="15.75" x14ac:dyDescent="0.25">
      <c r="A135" s="164"/>
      <c r="B135" s="165">
        <f>DATE(23,3,1)</f>
        <v>8461</v>
      </c>
      <c r="C135" s="226">
        <v>224833673.91</v>
      </c>
      <c r="D135" s="226">
        <v>20524459.280000001</v>
      </c>
      <c r="E135" s="226">
        <v>20102038.100000001</v>
      </c>
      <c r="F135" s="166">
        <f t="shared" si="27"/>
        <v>2.1013848342074311E-2</v>
      </c>
      <c r="G135" s="241">
        <f t="shared" si="28"/>
        <v>9.1287301066013168E-2</v>
      </c>
      <c r="H135" s="242">
        <f t="shared" si="29"/>
        <v>0.90871269893398687</v>
      </c>
      <c r="I135" s="157"/>
    </row>
    <row r="136" spans="1:9" ht="15.75" x14ac:dyDescent="0.25">
      <c r="A136" s="164"/>
      <c r="B136" s="165">
        <f>DATE(23,4,1)</f>
        <v>8492</v>
      </c>
      <c r="C136" s="226">
        <v>216996309.88</v>
      </c>
      <c r="D136" s="226">
        <v>19237395.370000001</v>
      </c>
      <c r="E136" s="226">
        <v>19770105.32</v>
      </c>
      <c r="F136" s="166">
        <f t="shared" si="27"/>
        <v>-2.6945225702014582E-2</v>
      </c>
      <c r="G136" s="241">
        <f t="shared" si="28"/>
        <v>8.8653099127069826E-2</v>
      </c>
      <c r="H136" s="242">
        <f t="shared" si="29"/>
        <v>0.91134690087293013</v>
      </c>
      <c r="I136" s="157"/>
    </row>
    <row r="137" spans="1:9" ht="15.75" thickBot="1" x14ac:dyDescent="0.25">
      <c r="A137" s="167"/>
      <c r="B137" s="168"/>
      <c r="C137" s="226"/>
      <c r="D137" s="226"/>
      <c r="E137" s="226"/>
      <c r="F137" s="166"/>
      <c r="G137" s="241"/>
      <c r="H137" s="242"/>
      <c r="I137" s="157"/>
    </row>
    <row r="138" spans="1:9" ht="17.25" thickTop="1" thickBot="1" x14ac:dyDescent="0.3">
      <c r="A138" s="174" t="s">
        <v>14</v>
      </c>
      <c r="B138" s="175"/>
      <c r="C138" s="228">
        <f>SUM(C127:C137)</f>
        <v>2042573933.6400003</v>
      </c>
      <c r="D138" s="228">
        <f>SUM(D127:D137)</f>
        <v>184423061.09</v>
      </c>
      <c r="E138" s="228">
        <f>SUM(E127:E137)</f>
        <v>178705700.69999999</v>
      </c>
      <c r="F138" s="176">
        <f>(+D138-E138)/E138</f>
        <v>3.1993161760396016E-2</v>
      </c>
      <c r="G138" s="249">
        <f>D138/C138</f>
        <v>9.0289540100683671E-2</v>
      </c>
      <c r="H138" s="270">
        <f>1-G138</f>
        <v>0.90971045989931631</v>
      </c>
      <c r="I138" s="157"/>
    </row>
    <row r="139" spans="1:9" ht="15.75" thickTop="1" x14ac:dyDescent="0.2">
      <c r="A139" s="167"/>
      <c r="B139" s="168"/>
      <c r="C139" s="226"/>
      <c r="D139" s="226"/>
      <c r="E139" s="226"/>
      <c r="F139" s="166"/>
      <c r="G139" s="241"/>
      <c r="H139" s="242"/>
      <c r="I139" s="157"/>
    </row>
    <row r="140" spans="1:9" ht="15.75" x14ac:dyDescent="0.25">
      <c r="A140" s="164" t="s">
        <v>54</v>
      </c>
      <c r="B140" s="165">
        <f>DATE(22,7,1)</f>
        <v>8218</v>
      </c>
      <c r="C140" s="226">
        <v>29253159.100000001</v>
      </c>
      <c r="D140" s="226">
        <v>3220140.18</v>
      </c>
      <c r="E140" s="226">
        <v>3540868.12</v>
      </c>
      <c r="F140" s="166">
        <f t="shared" ref="F140:F149" si="30">(+D140-E140)/E140</f>
        <v>-9.0578900182252467E-2</v>
      </c>
      <c r="G140" s="241">
        <f t="shared" ref="G140:G149" si="31">D140/C140</f>
        <v>0.11007837372340412</v>
      </c>
      <c r="H140" s="242">
        <f t="shared" ref="H140:H149" si="32">1-G140</f>
        <v>0.88992162627659588</v>
      </c>
      <c r="I140" s="157"/>
    </row>
    <row r="141" spans="1:9" ht="15.75" x14ac:dyDescent="0.25">
      <c r="A141" s="164"/>
      <c r="B141" s="165">
        <f>DATE(22,8,1)</f>
        <v>8249</v>
      </c>
      <c r="C141" s="226">
        <v>25837783.379999999</v>
      </c>
      <c r="D141" s="226">
        <v>2910388.06</v>
      </c>
      <c r="E141" s="226">
        <v>3115295.59</v>
      </c>
      <c r="F141" s="166">
        <f t="shared" si="30"/>
        <v>-6.577466698753931E-2</v>
      </c>
      <c r="G141" s="241">
        <f t="shared" si="31"/>
        <v>0.11264077948160274</v>
      </c>
      <c r="H141" s="242">
        <f t="shared" si="32"/>
        <v>0.88735922051839722</v>
      </c>
      <c r="I141" s="157"/>
    </row>
    <row r="142" spans="1:9" ht="15.75" x14ac:dyDescent="0.25">
      <c r="A142" s="164"/>
      <c r="B142" s="165">
        <f>DATE(22,9,1)</f>
        <v>8280</v>
      </c>
      <c r="C142" s="226">
        <v>27357626.210000001</v>
      </c>
      <c r="D142" s="226">
        <v>3079109.35</v>
      </c>
      <c r="E142" s="226">
        <v>3042841.65</v>
      </c>
      <c r="F142" s="166">
        <f t="shared" si="30"/>
        <v>1.1919023127608428E-2</v>
      </c>
      <c r="G142" s="241">
        <f t="shared" si="31"/>
        <v>0.11255031143288656</v>
      </c>
      <c r="H142" s="242">
        <f t="shared" si="32"/>
        <v>0.88744968856711348</v>
      </c>
      <c r="I142" s="157"/>
    </row>
    <row r="143" spans="1:9" ht="15.75" x14ac:dyDescent="0.25">
      <c r="A143" s="164"/>
      <c r="B143" s="165">
        <f>DATE(22,10,1)</f>
        <v>8310</v>
      </c>
      <c r="C143" s="226">
        <v>26519006.940000001</v>
      </c>
      <c r="D143" s="226">
        <v>3026739.97</v>
      </c>
      <c r="E143" s="226">
        <v>3415416.93</v>
      </c>
      <c r="F143" s="166">
        <f t="shared" si="30"/>
        <v>-0.11380073588848784</v>
      </c>
      <c r="G143" s="241">
        <f t="shared" si="31"/>
        <v>0.11413474029582195</v>
      </c>
      <c r="H143" s="242">
        <f t="shared" si="32"/>
        <v>0.88586525970417807</v>
      </c>
      <c r="I143" s="157"/>
    </row>
    <row r="144" spans="1:9" ht="15.75" x14ac:dyDescent="0.25">
      <c r="A144" s="164"/>
      <c r="B144" s="165">
        <f>DATE(22,11,1)</f>
        <v>8341</v>
      </c>
      <c r="C144" s="226">
        <v>23873732.329999998</v>
      </c>
      <c r="D144" s="226">
        <v>2771028.1</v>
      </c>
      <c r="E144" s="226">
        <v>3126811.29</v>
      </c>
      <c r="F144" s="166">
        <f t="shared" si="30"/>
        <v>-0.11378466974896971</v>
      </c>
      <c r="G144" s="241">
        <f t="shared" si="31"/>
        <v>0.11607016706465689</v>
      </c>
      <c r="H144" s="242">
        <f t="shared" si="32"/>
        <v>0.88392983293534311</v>
      </c>
      <c r="I144" s="157"/>
    </row>
    <row r="145" spans="1:9" ht="15.75" x14ac:dyDescent="0.25">
      <c r="A145" s="164"/>
      <c r="B145" s="165">
        <f>DATE(22,12,1)</f>
        <v>8371</v>
      </c>
      <c r="C145" s="226">
        <v>26447659.84</v>
      </c>
      <c r="D145" s="226">
        <v>3065877.72</v>
      </c>
      <c r="E145" s="226">
        <v>3080901.79</v>
      </c>
      <c r="F145" s="166">
        <f t="shared" si="30"/>
        <v>-4.8765170148444854E-3</v>
      </c>
      <c r="G145" s="241">
        <f t="shared" si="31"/>
        <v>0.11592245735719506</v>
      </c>
      <c r="H145" s="242">
        <f t="shared" si="32"/>
        <v>0.88407754264280491</v>
      </c>
      <c r="I145" s="157"/>
    </row>
    <row r="146" spans="1:9" ht="15.75" x14ac:dyDescent="0.25">
      <c r="A146" s="164"/>
      <c r="B146" s="165">
        <f>DATE(23,1,1)</f>
        <v>8402</v>
      </c>
      <c r="C146" s="226">
        <v>26245046.260000002</v>
      </c>
      <c r="D146" s="226">
        <v>2868849.61</v>
      </c>
      <c r="E146" s="226">
        <v>2697598.25</v>
      </c>
      <c r="F146" s="166">
        <f t="shared" si="30"/>
        <v>6.3482900020416261E-2</v>
      </c>
      <c r="G146" s="241">
        <f t="shared" si="31"/>
        <v>0.10931013729521998</v>
      </c>
      <c r="H146" s="242">
        <f t="shared" si="32"/>
        <v>0.89068986270478001</v>
      </c>
      <c r="I146" s="157"/>
    </row>
    <row r="147" spans="1:9" ht="15.75" x14ac:dyDescent="0.25">
      <c r="A147" s="164"/>
      <c r="B147" s="165">
        <f>DATE(23,2,1)</f>
        <v>8433</v>
      </c>
      <c r="C147" s="226">
        <v>28305002.850000001</v>
      </c>
      <c r="D147" s="226">
        <v>3074017.42</v>
      </c>
      <c r="E147" s="226">
        <v>2911358.37</v>
      </c>
      <c r="F147" s="166">
        <f t="shared" si="30"/>
        <v>5.5870500751853444E-2</v>
      </c>
      <c r="G147" s="241">
        <f t="shared" si="31"/>
        <v>0.10860332487124268</v>
      </c>
      <c r="H147" s="242">
        <f t="shared" si="32"/>
        <v>0.89139667512875731</v>
      </c>
      <c r="I147" s="157"/>
    </row>
    <row r="148" spans="1:9" ht="15.75" x14ac:dyDescent="0.25">
      <c r="A148" s="164"/>
      <c r="B148" s="165">
        <f>DATE(23,3,1)</f>
        <v>8461</v>
      </c>
      <c r="C148" s="226">
        <v>29350413.629999999</v>
      </c>
      <c r="D148" s="226">
        <v>3299257.76</v>
      </c>
      <c r="E148" s="226">
        <v>3443177.29</v>
      </c>
      <c r="F148" s="166">
        <f t="shared" si="30"/>
        <v>-4.1798466322946808E-2</v>
      </c>
      <c r="G148" s="241">
        <f t="shared" si="31"/>
        <v>0.1124092423906327</v>
      </c>
      <c r="H148" s="242">
        <f t="shared" si="32"/>
        <v>0.88759075760936734</v>
      </c>
      <c r="I148" s="157"/>
    </row>
    <row r="149" spans="1:9" ht="15.75" x14ac:dyDescent="0.25">
      <c r="A149" s="164"/>
      <c r="B149" s="165">
        <f>DATE(23,4,1)</f>
        <v>8492</v>
      </c>
      <c r="C149" s="226">
        <v>28582977.609999999</v>
      </c>
      <c r="D149" s="226">
        <v>3131346.14</v>
      </c>
      <c r="E149" s="226">
        <v>3438636.03</v>
      </c>
      <c r="F149" s="166">
        <f t="shared" si="30"/>
        <v>-8.9363889437289373E-2</v>
      </c>
      <c r="G149" s="241">
        <f t="shared" si="31"/>
        <v>0.10955283185417575</v>
      </c>
      <c r="H149" s="242">
        <f t="shared" si="32"/>
        <v>0.89044716814582425</v>
      </c>
      <c r="I149" s="157"/>
    </row>
    <row r="150" spans="1:9" ht="15.75" thickBot="1" x14ac:dyDescent="0.25">
      <c r="A150" s="167"/>
      <c r="B150" s="168"/>
      <c r="C150" s="226"/>
      <c r="D150" s="226"/>
      <c r="E150" s="226"/>
      <c r="F150" s="166"/>
      <c r="G150" s="241"/>
      <c r="H150" s="242"/>
      <c r="I150" s="157"/>
    </row>
    <row r="151" spans="1:9" ht="17.25" thickTop="1" thickBot="1" x14ac:dyDescent="0.3">
      <c r="A151" s="182" t="s">
        <v>14</v>
      </c>
      <c r="B151" s="183"/>
      <c r="C151" s="230">
        <f>SUM(C140:C150)</f>
        <v>271772408.14999998</v>
      </c>
      <c r="D151" s="230">
        <f>SUM(D140:D150)</f>
        <v>30446754.309999995</v>
      </c>
      <c r="E151" s="230">
        <f>SUM(E140:E150)</f>
        <v>31812905.309999999</v>
      </c>
      <c r="F151" s="176">
        <f>(+D151-E151)/E151</f>
        <v>-4.2943295706179052E-2</v>
      </c>
      <c r="G151" s="249">
        <f>D151/C151</f>
        <v>0.11203033640263969</v>
      </c>
      <c r="H151" s="246">
        <f>1-G151</f>
        <v>0.88796966359736029</v>
      </c>
      <c r="I151" s="157"/>
    </row>
    <row r="152" spans="1:9" ht="15.75" thickTop="1" x14ac:dyDescent="0.2">
      <c r="A152" s="167"/>
      <c r="B152" s="168"/>
      <c r="C152" s="226"/>
      <c r="D152" s="226"/>
      <c r="E152" s="226"/>
      <c r="F152" s="166"/>
      <c r="G152" s="241"/>
      <c r="H152" s="242"/>
      <c r="I152" s="157"/>
    </row>
    <row r="153" spans="1:9" ht="15.75" x14ac:dyDescent="0.25">
      <c r="A153" s="164" t="s">
        <v>37</v>
      </c>
      <c r="B153" s="165">
        <f>DATE(22,7,1)</f>
        <v>8218</v>
      </c>
      <c r="C153" s="226">
        <v>239506696.31999999</v>
      </c>
      <c r="D153" s="226">
        <v>21735779.219999999</v>
      </c>
      <c r="E153" s="226">
        <v>21441670.739999998</v>
      </c>
      <c r="F153" s="166">
        <f t="shared" ref="F153:F162" si="33">(+D153-E153)/E153</f>
        <v>1.3716677378658435E-2</v>
      </c>
      <c r="G153" s="241">
        <f t="shared" ref="G153:G162" si="34">D153/C153</f>
        <v>9.0752281894278516E-2</v>
      </c>
      <c r="H153" s="242">
        <f t="shared" ref="H153:H162" si="35">1-G153</f>
        <v>0.90924771810572147</v>
      </c>
      <c r="I153" s="157"/>
    </row>
    <row r="154" spans="1:9" ht="15.75" x14ac:dyDescent="0.25">
      <c r="A154" s="164"/>
      <c r="B154" s="165">
        <f>DATE(22,8,1)</f>
        <v>8249</v>
      </c>
      <c r="C154" s="226">
        <v>220146005.59</v>
      </c>
      <c r="D154" s="226">
        <v>20453352.670000002</v>
      </c>
      <c r="E154" s="226">
        <v>19679228.600000001</v>
      </c>
      <c r="F154" s="166">
        <f t="shared" si="33"/>
        <v>3.9337114565557732E-2</v>
      </c>
      <c r="G154" s="241">
        <f t="shared" si="34"/>
        <v>9.2908125292503974E-2</v>
      </c>
      <c r="H154" s="242">
        <f t="shared" si="35"/>
        <v>0.90709187470749608</v>
      </c>
      <c r="I154" s="157"/>
    </row>
    <row r="155" spans="1:9" ht="15.75" x14ac:dyDescent="0.25">
      <c r="A155" s="164"/>
      <c r="B155" s="165">
        <f>DATE(22,9,1)</f>
        <v>8280</v>
      </c>
      <c r="C155" s="226">
        <v>219043118.49000001</v>
      </c>
      <c r="D155" s="226">
        <v>19785542.02</v>
      </c>
      <c r="E155" s="226">
        <v>19466571.379999999</v>
      </c>
      <c r="F155" s="166">
        <f t="shared" si="33"/>
        <v>1.638555828725503E-2</v>
      </c>
      <c r="G155" s="241">
        <f t="shared" si="34"/>
        <v>9.0327156390002133E-2</v>
      </c>
      <c r="H155" s="242">
        <f t="shared" si="35"/>
        <v>0.90967284360999789</v>
      </c>
      <c r="I155" s="157"/>
    </row>
    <row r="156" spans="1:9" ht="15.75" x14ac:dyDescent="0.25">
      <c r="A156" s="164"/>
      <c r="B156" s="165">
        <f>DATE(22,10,1)</f>
        <v>8310</v>
      </c>
      <c r="C156" s="226">
        <v>217723657.16999999</v>
      </c>
      <c r="D156" s="226">
        <v>19416414.079999998</v>
      </c>
      <c r="E156" s="226">
        <v>20992171.949999999</v>
      </c>
      <c r="F156" s="166">
        <f t="shared" si="33"/>
        <v>-7.5064070252149451E-2</v>
      </c>
      <c r="G156" s="241">
        <f t="shared" si="34"/>
        <v>8.9179165610099698E-2</v>
      </c>
      <c r="H156" s="242">
        <f t="shared" si="35"/>
        <v>0.91082083438990025</v>
      </c>
      <c r="I156" s="157"/>
    </row>
    <row r="157" spans="1:9" ht="15.75" x14ac:dyDescent="0.25">
      <c r="A157" s="164"/>
      <c r="B157" s="165">
        <f>DATE(22,11,1)</f>
        <v>8341</v>
      </c>
      <c r="C157" s="226">
        <v>209644418.53</v>
      </c>
      <c r="D157" s="226">
        <v>19493781.030000001</v>
      </c>
      <c r="E157" s="226">
        <v>19425579.760000002</v>
      </c>
      <c r="F157" s="166">
        <f t="shared" si="33"/>
        <v>3.5109001040182879E-3</v>
      </c>
      <c r="G157" s="241">
        <f t="shared" si="34"/>
        <v>9.2984975067249176E-2</v>
      </c>
      <c r="H157" s="242">
        <f t="shared" si="35"/>
        <v>0.90701502493275088</v>
      </c>
      <c r="I157" s="157"/>
    </row>
    <row r="158" spans="1:9" ht="15.75" x14ac:dyDescent="0.25">
      <c r="A158" s="164"/>
      <c r="B158" s="165">
        <f>DATE(22,12,1)</f>
        <v>8371</v>
      </c>
      <c r="C158" s="226">
        <v>224820837.77000001</v>
      </c>
      <c r="D158" s="226">
        <v>20690373.02</v>
      </c>
      <c r="E158" s="226">
        <v>21621662.719999999</v>
      </c>
      <c r="F158" s="166">
        <f t="shared" si="33"/>
        <v>-4.3072066753615482E-2</v>
      </c>
      <c r="G158" s="241">
        <f t="shared" si="34"/>
        <v>9.2030495149951416E-2</v>
      </c>
      <c r="H158" s="242">
        <f t="shared" si="35"/>
        <v>0.90796950485004857</v>
      </c>
      <c r="I158" s="157"/>
    </row>
    <row r="159" spans="1:9" ht="15.75" x14ac:dyDescent="0.25">
      <c r="A159" s="164"/>
      <c r="B159" s="165">
        <f>DATE(23,1,1)</f>
        <v>8402</v>
      </c>
      <c r="C159" s="226">
        <v>213059071.5</v>
      </c>
      <c r="D159" s="226">
        <v>20127849.170000002</v>
      </c>
      <c r="E159" s="226">
        <v>18690342.719999999</v>
      </c>
      <c r="F159" s="166">
        <f t="shared" si="33"/>
        <v>7.6911722354976869E-2</v>
      </c>
      <c r="G159" s="241">
        <f t="shared" si="34"/>
        <v>9.4470744795299655E-2</v>
      </c>
      <c r="H159" s="242">
        <f t="shared" si="35"/>
        <v>0.90552925520470029</v>
      </c>
      <c r="I159" s="157"/>
    </row>
    <row r="160" spans="1:9" ht="15.75" x14ac:dyDescent="0.25">
      <c r="A160" s="164"/>
      <c r="B160" s="165">
        <f>DATE(23,2,1)</f>
        <v>8433</v>
      </c>
      <c r="C160" s="226">
        <v>208322006.68000001</v>
      </c>
      <c r="D160" s="226">
        <v>19683573.59</v>
      </c>
      <c r="E160" s="226">
        <v>18139556.949999999</v>
      </c>
      <c r="F160" s="166">
        <f t="shared" si="33"/>
        <v>8.5118762506490031E-2</v>
      </c>
      <c r="G160" s="241">
        <f t="shared" si="34"/>
        <v>9.4486290256581548E-2</v>
      </c>
      <c r="H160" s="242">
        <f t="shared" si="35"/>
        <v>0.90551370974341849</v>
      </c>
      <c r="I160" s="157"/>
    </row>
    <row r="161" spans="1:9" ht="15.75" x14ac:dyDescent="0.25">
      <c r="A161" s="164"/>
      <c r="B161" s="165">
        <f>DATE(23,3,1)</f>
        <v>8461</v>
      </c>
      <c r="C161" s="226">
        <v>230091201.56</v>
      </c>
      <c r="D161" s="226">
        <v>21826103.260000002</v>
      </c>
      <c r="E161" s="226">
        <v>21560181.280000001</v>
      </c>
      <c r="F161" s="166">
        <f t="shared" si="33"/>
        <v>1.2333939893477577E-2</v>
      </c>
      <c r="G161" s="241">
        <f t="shared" si="34"/>
        <v>9.4858487034796476E-2</v>
      </c>
      <c r="H161" s="242">
        <f t="shared" si="35"/>
        <v>0.90514151296520351</v>
      </c>
      <c r="I161" s="157"/>
    </row>
    <row r="162" spans="1:9" ht="15.75" x14ac:dyDescent="0.25">
      <c r="A162" s="164"/>
      <c r="B162" s="165">
        <f>DATE(23,4,1)</f>
        <v>8492</v>
      </c>
      <c r="C162" s="226">
        <v>220344800.13999999</v>
      </c>
      <c r="D162" s="226">
        <v>21507201.809999999</v>
      </c>
      <c r="E162" s="226">
        <v>20708642.59</v>
      </c>
      <c r="F162" s="166">
        <f t="shared" si="33"/>
        <v>3.8561639978547661E-2</v>
      </c>
      <c r="G162" s="241">
        <f t="shared" si="34"/>
        <v>9.760703132697035E-2</v>
      </c>
      <c r="H162" s="242">
        <f t="shared" si="35"/>
        <v>0.90239296867302965</v>
      </c>
      <c r="I162" s="157"/>
    </row>
    <row r="163" spans="1:9" ht="15.75" thickBot="1" x14ac:dyDescent="0.25">
      <c r="A163" s="167"/>
      <c r="B163" s="168"/>
      <c r="C163" s="226"/>
      <c r="D163" s="226"/>
      <c r="E163" s="226"/>
      <c r="F163" s="166"/>
      <c r="G163" s="241"/>
      <c r="H163" s="242"/>
      <c r="I163" s="157"/>
    </row>
    <row r="164" spans="1:9" ht="17.25" thickTop="1" thickBot="1" x14ac:dyDescent="0.3">
      <c r="A164" s="174" t="s">
        <v>14</v>
      </c>
      <c r="B164" s="175"/>
      <c r="C164" s="228">
        <f>SUM(C153:C163)</f>
        <v>2202701813.75</v>
      </c>
      <c r="D164" s="228">
        <f>SUM(D153:D163)</f>
        <v>204719969.86999997</v>
      </c>
      <c r="E164" s="228">
        <f>SUM(E153:E163)</f>
        <v>201725608.69</v>
      </c>
      <c r="F164" s="176">
        <f>(+D164-E164)/E164</f>
        <v>1.4843733522210037E-2</v>
      </c>
      <c r="G164" s="245">
        <f>D164/C164</f>
        <v>9.294039192779957E-2</v>
      </c>
      <c r="H164" s="246">
        <f>1-G164</f>
        <v>0.90705960807220043</v>
      </c>
      <c r="I164" s="157"/>
    </row>
    <row r="165" spans="1:9" ht="15.75" thickTop="1" x14ac:dyDescent="0.2">
      <c r="A165" s="167"/>
      <c r="B165" s="168"/>
      <c r="C165" s="226"/>
      <c r="D165" s="226"/>
      <c r="E165" s="226"/>
      <c r="F165" s="166"/>
      <c r="G165" s="241"/>
      <c r="H165" s="242"/>
      <c r="I165" s="157"/>
    </row>
    <row r="166" spans="1:9" ht="15.75" x14ac:dyDescent="0.25">
      <c r="A166" s="164" t="s">
        <v>57</v>
      </c>
      <c r="B166" s="165">
        <f>DATE(22,7,1)</f>
        <v>8218</v>
      </c>
      <c r="C166" s="226">
        <v>35319959.490000002</v>
      </c>
      <c r="D166" s="226">
        <v>3941098.7</v>
      </c>
      <c r="E166" s="226">
        <v>3963905.07</v>
      </c>
      <c r="F166" s="166">
        <f t="shared" ref="F166:F175" si="36">(+D166-E166)/E166</f>
        <v>-5.7535106409598372E-3</v>
      </c>
      <c r="G166" s="241">
        <f t="shared" ref="G166:G175" si="37">D166/C166</f>
        <v>0.11158276387932516</v>
      </c>
      <c r="H166" s="242">
        <f t="shared" ref="H166:H175" si="38">1-G166</f>
        <v>0.8884172361206748</v>
      </c>
      <c r="I166" s="157"/>
    </row>
    <row r="167" spans="1:9" ht="15.75" x14ac:dyDescent="0.25">
      <c r="A167" s="164"/>
      <c r="B167" s="165">
        <f>DATE(22,8,1)</f>
        <v>8249</v>
      </c>
      <c r="C167" s="226">
        <v>32131032.469999999</v>
      </c>
      <c r="D167" s="226">
        <v>3508347.49</v>
      </c>
      <c r="E167" s="226">
        <v>3797696.16</v>
      </c>
      <c r="F167" s="166">
        <f t="shared" si="36"/>
        <v>-7.6190579185250018E-2</v>
      </c>
      <c r="G167" s="241">
        <f t="shared" si="37"/>
        <v>0.10918875679689606</v>
      </c>
      <c r="H167" s="242">
        <f t="shared" si="38"/>
        <v>0.8908112432031039</v>
      </c>
      <c r="I167" s="157"/>
    </row>
    <row r="168" spans="1:9" ht="15.75" x14ac:dyDescent="0.25">
      <c r="A168" s="164"/>
      <c r="B168" s="165">
        <f>DATE(22,9,1)</f>
        <v>8280</v>
      </c>
      <c r="C168" s="226">
        <v>32450974.030000001</v>
      </c>
      <c r="D168" s="226">
        <v>3766686.61</v>
      </c>
      <c r="E168" s="226">
        <v>3519488.37</v>
      </c>
      <c r="F168" s="166">
        <f t="shared" si="36"/>
        <v>7.0236981632645579E-2</v>
      </c>
      <c r="G168" s="241">
        <f t="shared" si="37"/>
        <v>0.11607314487749444</v>
      </c>
      <c r="H168" s="242">
        <f t="shared" si="38"/>
        <v>0.88392685512250557</v>
      </c>
      <c r="I168" s="157"/>
    </row>
    <row r="169" spans="1:9" ht="15.75" x14ac:dyDescent="0.25">
      <c r="A169" s="164"/>
      <c r="B169" s="165">
        <f>DATE(22,10,1)</f>
        <v>8310</v>
      </c>
      <c r="C169" s="226">
        <v>32407148.93</v>
      </c>
      <c r="D169" s="226">
        <v>3644045.37</v>
      </c>
      <c r="E169" s="226">
        <v>3955357.96</v>
      </c>
      <c r="F169" s="166">
        <f t="shared" si="36"/>
        <v>-7.8706552769246665E-2</v>
      </c>
      <c r="G169" s="241">
        <f t="shared" si="37"/>
        <v>0.11244572541296986</v>
      </c>
      <c r="H169" s="242">
        <f t="shared" si="38"/>
        <v>0.88755427458703018</v>
      </c>
      <c r="I169" s="157"/>
    </row>
    <row r="170" spans="1:9" ht="15.75" x14ac:dyDescent="0.25">
      <c r="A170" s="164"/>
      <c r="B170" s="165">
        <f>DATE(22,11,1)</f>
        <v>8341</v>
      </c>
      <c r="C170" s="226">
        <v>30807154.699999999</v>
      </c>
      <c r="D170" s="226">
        <v>3367619.94</v>
      </c>
      <c r="E170" s="226">
        <v>3600834.91</v>
      </c>
      <c r="F170" s="166">
        <f t="shared" si="36"/>
        <v>-6.476691540407227E-2</v>
      </c>
      <c r="G170" s="241">
        <f t="shared" si="37"/>
        <v>0.10931291684655318</v>
      </c>
      <c r="H170" s="242">
        <f t="shared" si="38"/>
        <v>0.8906870831534468</v>
      </c>
      <c r="I170" s="157"/>
    </row>
    <row r="171" spans="1:9" ht="15.75" x14ac:dyDescent="0.25">
      <c r="A171" s="164"/>
      <c r="B171" s="165">
        <f>DATE(22,12,1)</f>
        <v>8371</v>
      </c>
      <c r="C171" s="226">
        <v>34580559.600000001</v>
      </c>
      <c r="D171" s="226">
        <v>3754875.29</v>
      </c>
      <c r="E171" s="226">
        <v>3929490.08</v>
      </c>
      <c r="F171" s="166">
        <f t="shared" si="36"/>
        <v>-4.4437010005125149E-2</v>
      </c>
      <c r="G171" s="241">
        <f t="shared" si="37"/>
        <v>0.10858341604165364</v>
      </c>
      <c r="H171" s="242">
        <f t="shared" si="38"/>
        <v>0.89141658395834633</v>
      </c>
      <c r="I171" s="157"/>
    </row>
    <row r="172" spans="1:9" ht="15.75" x14ac:dyDescent="0.25">
      <c r="A172" s="164"/>
      <c r="B172" s="165">
        <f>DATE(23,1,1)</f>
        <v>8402</v>
      </c>
      <c r="C172" s="226">
        <v>31650112.370000001</v>
      </c>
      <c r="D172" s="226">
        <v>3530111.77</v>
      </c>
      <c r="E172" s="226">
        <v>3412089.33</v>
      </c>
      <c r="F172" s="166">
        <f t="shared" si="36"/>
        <v>3.4589493001345291E-2</v>
      </c>
      <c r="G172" s="241">
        <f t="shared" si="37"/>
        <v>0.1115355209084839</v>
      </c>
      <c r="H172" s="242">
        <f t="shared" si="38"/>
        <v>0.88846447909151616</v>
      </c>
      <c r="I172" s="157"/>
    </row>
    <row r="173" spans="1:9" ht="15.75" x14ac:dyDescent="0.25">
      <c r="A173" s="164"/>
      <c r="B173" s="165">
        <f>DATE(23,2,1)</f>
        <v>8433</v>
      </c>
      <c r="C173" s="226">
        <v>35560292.880000003</v>
      </c>
      <c r="D173" s="226">
        <v>3950011.33</v>
      </c>
      <c r="E173" s="226">
        <v>3898386.72</v>
      </c>
      <c r="F173" s="166">
        <f t="shared" si="36"/>
        <v>1.3242557423856572E-2</v>
      </c>
      <c r="G173" s="241">
        <f t="shared" si="37"/>
        <v>0.1110792687599484</v>
      </c>
      <c r="H173" s="242">
        <f t="shared" si="38"/>
        <v>0.88892073124005155</v>
      </c>
      <c r="I173" s="157"/>
    </row>
    <row r="174" spans="1:9" ht="15.75" x14ac:dyDescent="0.25">
      <c r="A174" s="164"/>
      <c r="B174" s="165">
        <f>DATE(23,3,1)</f>
        <v>8461</v>
      </c>
      <c r="C174" s="226">
        <v>39760286.060000002</v>
      </c>
      <c r="D174" s="226">
        <v>4407775.3899999997</v>
      </c>
      <c r="E174" s="226">
        <v>4277132.01</v>
      </c>
      <c r="F174" s="166">
        <f t="shared" si="36"/>
        <v>3.0544621885542387E-2</v>
      </c>
      <c r="G174" s="241">
        <f t="shared" si="37"/>
        <v>0.11085874441015024</v>
      </c>
      <c r="H174" s="242">
        <f t="shared" si="38"/>
        <v>0.8891412555898498</v>
      </c>
      <c r="I174" s="157"/>
    </row>
    <row r="175" spans="1:9" ht="15.75" x14ac:dyDescent="0.25">
      <c r="A175" s="164"/>
      <c r="B175" s="165">
        <f>DATE(23,4,1)</f>
        <v>8492</v>
      </c>
      <c r="C175" s="226">
        <v>37221039.270000003</v>
      </c>
      <c r="D175" s="226">
        <v>4100329.58</v>
      </c>
      <c r="E175" s="226">
        <v>4391413.75</v>
      </c>
      <c r="F175" s="166">
        <f t="shared" si="36"/>
        <v>-6.6284842779845088E-2</v>
      </c>
      <c r="G175" s="241">
        <f t="shared" si="37"/>
        <v>0.11016160914412855</v>
      </c>
      <c r="H175" s="242">
        <f t="shared" si="38"/>
        <v>0.88983839085587146</v>
      </c>
      <c r="I175" s="157"/>
    </row>
    <row r="176" spans="1:9" ht="15.75" thickBot="1" x14ac:dyDescent="0.25">
      <c r="A176" s="167"/>
      <c r="B176" s="168"/>
      <c r="C176" s="226"/>
      <c r="D176" s="226"/>
      <c r="E176" s="226"/>
      <c r="F176" s="166"/>
      <c r="G176" s="241"/>
      <c r="H176" s="242"/>
      <c r="I176" s="157"/>
    </row>
    <row r="177" spans="1:9" ht="17.25" thickTop="1" thickBot="1" x14ac:dyDescent="0.3">
      <c r="A177" s="169" t="s">
        <v>14</v>
      </c>
      <c r="B177" s="155"/>
      <c r="C177" s="223">
        <f>SUM(C166:C176)</f>
        <v>341888559.79999995</v>
      </c>
      <c r="D177" s="223">
        <f>SUM(D166:D176)</f>
        <v>37970901.469999999</v>
      </c>
      <c r="E177" s="223">
        <f>SUM(E166:E176)</f>
        <v>38745794.359999999</v>
      </c>
      <c r="F177" s="176">
        <f>(+D177-E177)/E177</f>
        <v>-1.9999406459452456E-2</v>
      </c>
      <c r="G177" s="245">
        <f>D177/C177</f>
        <v>0.11106221715114553</v>
      </c>
      <c r="H177" s="246">
        <f>1-G177</f>
        <v>0.8889377828488545</v>
      </c>
      <c r="I177" s="157"/>
    </row>
    <row r="178" spans="1:9" ht="16.5" thickTop="1" thickBot="1" x14ac:dyDescent="0.25">
      <c r="A178" s="171"/>
      <c r="B178" s="172"/>
      <c r="C178" s="227"/>
      <c r="D178" s="227"/>
      <c r="E178" s="227"/>
      <c r="F178" s="173"/>
      <c r="G178" s="243"/>
      <c r="H178" s="244"/>
      <c r="I178" s="157"/>
    </row>
    <row r="179" spans="1:9" ht="17.25" thickTop="1" thickBot="1" x14ac:dyDescent="0.3">
      <c r="A179" s="184" t="s">
        <v>38</v>
      </c>
      <c r="B179" s="155"/>
      <c r="C179" s="223">
        <f>C177+C164+C125+C99+C73+C47+C21+C60+C151+C34+C112+C138+C86</f>
        <v>14179604378.41</v>
      </c>
      <c r="D179" s="223">
        <f>D177+D164+D125+D99+D73+D47+D21+D60+D151+D34+D112+D138+D86</f>
        <v>1372569715.2599998</v>
      </c>
      <c r="E179" s="223">
        <f>E177+E164+E125+E99+E73+E47+E21+E60+E151+E34+E112+E138+E86</f>
        <v>1365081535.96</v>
      </c>
      <c r="F179" s="170">
        <f>(+D179-E179)/E179</f>
        <v>5.4855179729125974E-3</v>
      </c>
      <c r="G179" s="236">
        <f>D179/C179</f>
        <v>9.6798872424810903E-2</v>
      </c>
      <c r="H179" s="237">
        <f>1-G179</f>
        <v>0.90320112757518911</v>
      </c>
      <c r="I179" s="157"/>
    </row>
    <row r="180" spans="1:9" ht="17.25" thickTop="1" thickBot="1" x14ac:dyDescent="0.3">
      <c r="A180" s="184"/>
      <c r="B180" s="155"/>
      <c r="C180" s="223"/>
      <c r="D180" s="223"/>
      <c r="E180" s="223"/>
      <c r="F180" s="170"/>
      <c r="G180" s="236"/>
      <c r="H180" s="237"/>
      <c r="I180" s="157"/>
    </row>
    <row r="181" spans="1:9" ht="17.25" thickTop="1" thickBot="1" x14ac:dyDescent="0.3">
      <c r="A181" s="184" t="s">
        <v>39</v>
      </c>
      <c r="B181" s="155"/>
      <c r="C181" s="223">
        <f>+C19+C32+C45+C58+C71+C84+C97+C110+C123+C136+C149+C162+C175</f>
        <v>1465728931.8899999</v>
      </c>
      <c r="D181" s="223">
        <f>+D19+D32+D45+D58+D71+D84+D97+D110+D123+D136+D149+D162+D175</f>
        <v>143042647.83000001</v>
      </c>
      <c r="E181" s="223">
        <f>+E19+E32+E45+E58+E71+E84+E97+E110+E123+E136+E149+E162+E175</f>
        <v>147831735.50999999</v>
      </c>
      <c r="F181" s="170">
        <f>(+D181-E181)/E181</f>
        <v>-3.2395531740720331E-2</v>
      </c>
      <c r="G181" s="236">
        <f>D181/C181</f>
        <v>9.7591474602027634E-2</v>
      </c>
      <c r="H181" s="246">
        <f>1-G181</f>
        <v>0.90240852539797234</v>
      </c>
      <c r="I181" s="157"/>
    </row>
    <row r="182" spans="1:9" ht="16.5" thickTop="1" x14ac:dyDescent="0.25">
      <c r="A182" s="185"/>
      <c r="B182" s="186"/>
      <c r="C182" s="231"/>
      <c r="D182" s="231"/>
      <c r="E182" s="231"/>
      <c r="F182" s="187"/>
      <c r="G182" s="250"/>
      <c r="H182" s="250"/>
      <c r="I182" s="151"/>
    </row>
    <row r="183" spans="1:9" ht="16.5" customHeight="1" x14ac:dyDescent="0.3">
      <c r="A183" s="188" t="s">
        <v>49</v>
      </c>
      <c r="B183" s="189"/>
      <c r="C183" s="232"/>
      <c r="D183" s="232"/>
      <c r="E183" s="232"/>
      <c r="F183" s="190"/>
      <c r="G183" s="251"/>
      <c r="H183" s="251"/>
      <c r="I183" s="151"/>
    </row>
    <row r="184" spans="1:9" ht="15.75" x14ac:dyDescent="0.25">
      <c r="A184" s="191"/>
      <c r="B184" s="189"/>
      <c r="C184" s="232"/>
      <c r="D184" s="232"/>
      <c r="E184" s="232"/>
      <c r="F184" s="190"/>
      <c r="G184" s="257"/>
      <c r="H184" s="257"/>
      <c r="I184" s="151"/>
    </row>
    <row r="185" spans="1:9" ht="15.75" x14ac:dyDescent="0.25">
      <c r="A185" s="72"/>
      <c r="I185" s="151"/>
    </row>
  </sheetData>
  <phoneticPr fontId="0" type="noConversion"/>
  <printOptions horizontalCentered="1"/>
  <pageMargins left="0.75" right="0.25" top="0.31940000000000002" bottom="0.2" header="0.5" footer="0.5"/>
  <pageSetup scale="61" orientation="landscape" r:id="rId1"/>
  <headerFooter alignWithMargins="0"/>
  <rowBreaks count="3" manualBreakCount="3">
    <brk id="60" max="8" man="1"/>
    <brk id="112" max="8" man="1"/>
    <brk id="16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2023-05-09T14:42:06Z</cp:lastPrinted>
  <dcterms:created xsi:type="dcterms:W3CDTF">2003-09-09T14:41:43Z</dcterms:created>
  <dcterms:modified xsi:type="dcterms:W3CDTF">2023-05-09T19:37:59Z</dcterms:modified>
</cp:coreProperties>
</file>