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STATS'!$A$1:$M$195</definedName>
    <definedName name="_xlnm.Print_Area" localSheetId="4">'SLOT STATS'!$A$1:$I$196</definedName>
    <definedName name="_xlnm.Print_Area" localSheetId="2">'TABLE STATS'!$A$1:$H$195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 fullCalcOnLoad="1"/>
</workbook>
</file>

<file path=xl/calcChain.xml><?xml version="1.0" encoding="utf-8"?>
<calcChain xmlns="http://schemas.openxmlformats.org/spreadsheetml/2006/main">
  <c r="E194" i="4" l="1"/>
  <c r="D194" i="4"/>
  <c r="C194" i="4"/>
  <c r="F188" i="4"/>
  <c r="G188" i="4"/>
  <c r="H188" i="4"/>
  <c r="F174" i="4"/>
  <c r="G174" i="4"/>
  <c r="H174" i="4"/>
  <c r="F160" i="4"/>
  <c r="G160" i="4"/>
  <c r="H160" i="4"/>
  <c r="F146" i="4"/>
  <c r="G146" i="4"/>
  <c r="H146" i="4"/>
  <c r="F132" i="4"/>
  <c r="G132" i="4"/>
  <c r="H132" i="4"/>
  <c r="F118" i="4"/>
  <c r="G118" i="4"/>
  <c r="H118" i="4"/>
  <c r="F104" i="4"/>
  <c r="G104" i="4"/>
  <c r="H104" i="4"/>
  <c r="F90" i="4"/>
  <c r="G90" i="4"/>
  <c r="H90" i="4"/>
  <c r="F76" i="4"/>
  <c r="G76" i="4"/>
  <c r="H76" i="4"/>
  <c r="F62" i="4"/>
  <c r="G62" i="4"/>
  <c r="H62" i="4"/>
  <c r="F48" i="4"/>
  <c r="G48" i="4"/>
  <c r="H48" i="4"/>
  <c r="F34" i="4"/>
  <c r="G34" i="4"/>
  <c r="H34" i="4"/>
  <c r="F20" i="4"/>
  <c r="G20" i="4"/>
  <c r="H20" i="4"/>
  <c r="B188" i="4"/>
  <c r="B174" i="4"/>
  <c r="B160" i="4"/>
  <c r="B146" i="4"/>
  <c r="B132" i="4"/>
  <c r="B118" i="4"/>
  <c r="B104" i="4"/>
  <c r="B90" i="4"/>
  <c r="B76" i="4"/>
  <c r="B62" i="4"/>
  <c r="B48" i="4"/>
  <c r="B34" i="4"/>
  <c r="B20" i="4"/>
  <c r="E194" i="5"/>
  <c r="D194" i="5"/>
  <c r="F194" i="5"/>
  <c r="C194" i="5"/>
  <c r="F174" i="5"/>
  <c r="G174" i="5"/>
  <c r="H174" i="5"/>
  <c r="B188" i="5"/>
  <c r="B174" i="5"/>
  <c r="B160" i="5"/>
  <c r="B146" i="5"/>
  <c r="B132" i="5"/>
  <c r="B118" i="5"/>
  <c r="B104" i="5"/>
  <c r="B90" i="5"/>
  <c r="B76" i="5"/>
  <c r="B62" i="5"/>
  <c r="B48" i="5"/>
  <c r="B34" i="5"/>
  <c r="B20" i="5"/>
  <c r="E193" i="3"/>
  <c r="D193" i="3"/>
  <c r="C193" i="3"/>
  <c r="F187" i="3"/>
  <c r="G187" i="3"/>
  <c r="F173" i="3"/>
  <c r="G173" i="3"/>
  <c r="F159" i="3"/>
  <c r="G159" i="3"/>
  <c r="F145" i="3"/>
  <c r="G145" i="3"/>
  <c r="F131" i="3"/>
  <c r="G131" i="3"/>
  <c r="F117" i="3"/>
  <c r="G117" i="3"/>
  <c r="F103" i="3"/>
  <c r="G103" i="3"/>
  <c r="F89" i="3"/>
  <c r="G89" i="3"/>
  <c r="F75" i="3"/>
  <c r="G75" i="3"/>
  <c r="F61" i="3"/>
  <c r="G61" i="3"/>
  <c r="F47" i="3"/>
  <c r="G47" i="3"/>
  <c r="F33" i="3"/>
  <c r="G33" i="3"/>
  <c r="F19" i="3"/>
  <c r="G19" i="3"/>
  <c r="B187" i="3"/>
  <c r="B173" i="3"/>
  <c r="B159" i="3"/>
  <c r="B145" i="3"/>
  <c r="B131" i="3"/>
  <c r="B117" i="3"/>
  <c r="B103" i="3"/>
  <c r="B89" i="3"/>
  <c r="B75" i="3"/>
  <c r="B61" i="3"/>
  <c r="B47" i="3"/>
  <c r="B33" i="3"/>
  <c r="B19" i="3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41" i="2"/>
  <c r="A20" i="2"/>
  <c r="F114" i="1"/>
  <c r="F170" i="1"/>
  <c r="F172" i="1"/>
  <c r="L193" i="1"/>
  <c r="K193" i="1"/>
  <c r="G193" i="1"/>
  <c r="F193" i="1"/>
  <c r="H193" i="1"/>
  <c r="D193" i="1"/>
  <c r="E193" i="1"/>
  <c r="C193" i="1"/>
  <c r="H187" i="1"/>
  <c r="M187" i="1"/>
  <c r="I187" i="1"/>
  <c r="J187" i="1"/>
  <c r="G187" i="1"/>
  <c r="G189" i="1"/>
  <c r="H189" i="1"/>
  <c r="F187" i="1"/>
  <c r="E187" i="1"/>
  <c r="H173" i="1"/>
  <c r="M173" i="1"/>
  <c r="I173" i="1"/>
  <c r="J173" i="1"/>
  <c r="G173" i="1"/>
  <c r="G175" i="1"/>
  <c r="F173" i="1"/>
  <c r="E173" i="1"/>
  <c r="H159" i="1"/>
  <c r="M159" i="1"/>
  <c r="I159" i="1"/>
  <c r="J159" i="1"/>
  <c r="G159" i="1"/>
  <c r="F159" i="1"/>
  <c r="F161" i="1"/>
  <c r="E159" i="1"/>
  <c r="H145" i="1"/>
  <c r="M145" i="1"/>
  <c r="I145" i="1"/>
  <c r="J145" i="1"/>
  <c r="G145" i="1"/>
  <c r="F145" i="1"/>
  <c r="E145" i="1"/>
  <c r="H131" i="1"/>
  <c r="M131" i="1"/>
  <c r="I131" i="1"/>
  <c r="J131" i="1"/>
  <c r="G131" i="1"/>
  <c r="F131" i="1"/>
  <c r="E131" i="1"/>
  <c r="H117" i="1"/>
  <c r="M117" i="1"/>
  <c r="I117" i="1"/>
  <c r="J117" i="1"/>
  <c r="G117" i="1"/>
  <c r="G119" i="1"/>
  <c r="F117" i="1"/>
  <c r="E117" i="1"/>
  <c r="H103" i="1"/>
  <c r="M103" i="1"/>
  <c r="I103" i="1"/>
  <c r="J103" i="1"/>
  <c r="G103" i="1"/>
  <c r="G105" i="1"/>
  <c r="F103" i="1"/>
  <c r="E103" i="1"/>
  <c r="H89" i="1"/>
  <c r="M89" i="1"/>
  <c r="I89" i="1"/>
  <c r="J89" i="1"/>
  <c r="G89" i="1"/>
  <c r="F89" i="1"/>
  <c r="E89" i="1"/>
  <c r="H75" i="1"/>
  <c r="M75" i="1"/>
  <c r="I75" i="1"/>
  <c r="J75" i="1"/>
  <c r="G75" i="1"/>
  <c r="G77" i="1"/>
  <c r="F75" i="1"/>
  <c r="F77" i="1"/>
  <c r="E75" i="1"/>
  <c r="H61" i="1"/>
  <c r="M61" i="1"/>
  <c r="I61" i="1"/>
  <c r="J61" i="1"/>
  <c r="G61" i="1"/>
  <c r="F61" i="1"/>
  <c r="F63" i="1"/>
  <c r="E61" i="1"/>
  <c r="H47" i="1"/>
  <c r="M47" i="1"/>
  <c r="I47" i="1"/>
  <c r="J47" i="1"/>
  <c r="G47" i="1"/>
  <c r="F47" i="1"/>
  <c r="E47" i="1"/>
  <c r="H33" i="1"/>
  <c r="M33" i="1"/>
  <c r="I33" i="1"/>
  <c r="J33" i="1"/>
  <c r="G33" i="1"/>
  <c r="G35" i="1"/>
  <c r="F33" i="1"/>
  <c r="F35" i="1"/>
  <c r="E33" i="1"/>
  <c r="H19" i="1"/>
  <c r="M19" i="1"/>
  <c r="I19" i="1"/>
  <c r="J19" i="1"/>
  <c r="G19" i="1"/>
  <c r="G21" i="1"/>
  <c r="F19" i="1"/>
  <c r="E19" i="1"/>
  <c r="B187" i="1"/>
  <c r="B173" i="1"/>
  <c r="B159" i="1"/>
  <c r="B145" i="1"/>
  <c r="B131" i="1"/>
  <c r="B117" i="1"/>
  <c r="B103" i="1"/>
  <c r="B89" i="1"/>
  <c r="B75" i="1"/>
  <c r="B61" i="1"/>
  <c r="B47" i="1"/>
  <c r="B33" i="1"/>
  <c r="B19" i="1"/>
  <c r="F194" i="4"/>
  <c r="G194" i="4"/>
  <c r="H194" i="4"/>
  <c r="F187" i="4"/>
  <c r="G187" i="4"/>
  <c r="H187" i="4"/>
  <c r="F173" i="4"/>
  <c r="G173" i="4"/>
  <c r="H173" i="4"/>
  <c r="F159" i="4"/>
  <c r="G159" i="4"/>
  <c r="H159" i="4"/>
  <c r="F145" i="4"/>
  <c r="G145" i="4"/>
  <c r="H145" i="4"/>
  <c r="F131" i="4"/>
  <c r="G131" i="4"/>
  <c r="H131" i="4"/>
  <c r="F117" i="4"/>
  <c r="G117" i="4"/>
  <c r="H117" i="4"/>
  <c r="F103" i="4"/>
  <c r="G103" i="4"/>
  <c r="H103" i="4"/>
  <c r="F89" i="4"/>
  <c r="G89" i="4"/>
  <c r="H89" i="4"/>
  <c r="F75" i="4"/>
  <c r="G75" i="4"/>
  <c r="H75" i="4"/>
  <c r="F61" i="4"/>
  <c r="G61" i="4"/>
  <c r="H61" i="4"/>
  <c r="G47" i="4"/>
  <c r="H47" i="4"/>
  <c r="H46" i="4"/>
  <c r="G46" i="4"/>
  <c r="F47" i="4"/>
  <c r="F33" i="4"/>
  <c r="G33" i="4"/>
  <c r="H33" i="4"/>
  <c r="F19" i="4"/>
  <c r="G19" i="4"/>
  <c r="H19" i="4"/>
  <c r="B187" i="4"/>
  <c r="B173" i="4"/>
  <c r="B159" i="4"/>
  <c r="B145" i="4"/>
  <c r="B131" i="4"/>
  <c r="B117" i="4"/>
  <c r="B103" i="4"/>
  <c r="B89" i="4"/>
  <c r="B75" i="4"/>
  <c r="B61" i="4"/>
  <c r="B47" i="4"/>
  <c r="B33" i="4"/>
  <c r="B19" i="4"/>
  <c r="G194" i="5"/>
  <c r="H194" i="5"/>
  <c r="F173" i="5"/>
  <c r="G173" i="5"/>
  <c r="H173" i="5"/>
  <c r="B187" i="5"/>
  <c r="B173" i="5"/>
  <c r="B159" i="5"/>
  <c r="B145" i="5"/>
  <c r="B131" i="5"/>
  <c r="B117" i="5"/>
  <c r="B103" i="5"/>
  <c r="B89" i="5"/>
  <c r="B75" i="5"/>
  <c r="B61" i="5"/>
  <c r="B47" i="5"/>
  <c r="B33" i="5"/>
  <c r="B19" i="5"/>
  <c r="F193" i="3"/>
  <c r="F186" i="3"/>
  <c r="G186" i="3"/>
  <c r="F172" i="3"/>
  <c r="G172" i="3"/>
  <c r="F158" i="3"/>
  <c r="G158" i="3"/>
  <c r="F144" i="3"/>
  <c r="G144" i="3"/>
  <c r="F130" i="3"/>
  <c r="G130" i="3"/>
  <c r="F116" i="3"/>
  <c r="G116" i="3"/>
  <c r="F102" i="3"/>
  <c r="G102" i="3"/>
  <c r="F88" i="3"/>
  <c r="G88" i="3"/>
  <c r="F74" i="3"/>
  <c r="G74" i="3"/>
  <c r="F60" i="3"/>
  <c r="G60" i="3"/>
  <c r="F46" i="3"/>
  <c r="G46" i="3"/>
  <c r="F32" i="3"/>
  <c r="G32" i="3"/>
  <c r="F18" i="3"/>
  <c r="G18" i="3"/>
  <c r="B186" i="3"/>
  <c r="B172" i="3"/>
  <c r="B158" i="3"/>
  <c r="B144" i="3"/>
  <c r="B130" i="3"/>
  <c r="B116" i="3"/>
  <c r="B102" i="3"/>
  <c r="B88" i="3"/>
  <c r="B74" i="3"/>
  <c r="B60" i="3"/>
  <c r="B46" i="3"/>
  <c r="B32" i="3"/>
  <c r="B18" i="3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40" i="2"/>
  <c r="A19" i="2"/>
  <c r="H186" i="1"/>
  <c r="M186" i="1"/>
  <c r="I186" i="1"/>
  <c r="J186" i="1"/>
  <c r="G186" i="1"/>
  <c r="F186" i="1"/>
  <c r="F189" i="1"/>
  <c r="E186" i="1"/>
  <c r="F171" i="1"/>
  <c r="M172" i="1"/>
  <c r="I172" i="1"/>
  <c r="J172" i="1"/>
  <c r="G172" i="1"/>
  <c r="H172" i="1"/>
  <c r="E172" i="1"/>
  <c r="H158" i="1"/>
  <c r="M158" i="1"/>
  <c r="I158" i="1"/>
  <c r="J158" i="1"/>
  <c r="G158" i="1"/>
  <c r="F158" i="1"/>
  <c r="E158" i="1"/>
  <c r="H144" i="1"/>
  <c r="M144" i="1"/>
  <c r="I144" i="1"/>
  <c r="J144" i="1"/>
  <c r="G144" i="1"/>
  <c r="F144" i="1"/>
  <c r="F147" i="1"/>
  <c r="E144" i="1"/>
  <c r="H130" i="1"/>
  <c r="M130" i="1"/>
  <c r="I130" i="1"/>
  <c r="J130" i="1"/>
  <c r="G130" i="1"/>
  <c r="F130" i="1"/>
  <c r="E130" i="1"/>
  <c r="H116" i="1"/>
  <c r="M116" i="1"/>
  <c r="I116" i="1"/>
  <c r="J116" i="1"/>
  <c r="G116" i="1"/>
  <c r="F116" i="1"/>
  <c r="E116" i="1"/>
  <c r="F97" i="1"/>
  <c r="H102" i="1"/>
  <c r="M102" i="1"/>
  <c r="I102" i="1"/>
  <c r="J102" i="1"/>
  <c r="G102" i="1"/>
  <c r="F102" i="1"/>
  <c r="E102" i="1"/>
  <c r="H88" i="1"/>
  <c r="M88" i="1"/>
  <c r="I88" i="1"/>
  <c r="J88" i="1"/>
  <c r="G88" i="1"/>
  <c r="F88" i="1"/>
  <c r="E88" i="1"/>
  <c r="H74" i="1"/>
  <c r="M74" i="1"/>
  <c r="I74" i="1"/>
  <c r="J74" i="1"/>
  <c r="G74" i="1"/>
  <c r="F74" i="1"/>
  <c r="E74" i="1"/>
  <c r="H60" i="1"/>
  <c r="M60" i="1"/>
  <c r="I60" i="1"/>
  <c r="J60" i="1"/>
  <c r="G60" i="1"/>
  <c r="F60" i="1"/>
  <c r="E60" i="1"/>
  <c r="F45" i="1"/>
  <c r="J45" i="1"/>
  <c r="H46" i="1"/>
  <c r="M46" i="1"/>
  <c r="I46" i="1"/>
  <c r="J46" i="1"/>
  <c r="G46" i="1"/>
  <c r="F46" i="1"/>
  <c r="E46" i="1"/>
  <c r="F31" i="1"/>
  <c r="H32" i="1"/>
  <c r="M32" i="1"/>
  <c r="I32" i="1"/>
  <c r="J32" i="1"/>
  <c r="G32" i="1"/>
  <c r="F32" i="1"/>
  <c r="E32" i="1"/>
  <c r="H18" i="1"/>
  <c r="M18" i="1"/>
  <c r="G18" i="1"/>
  <c r="I18" i="1"/>
  <c r="F18" i="1"/>
  <c r="J18" i="1"/>
  <c r="E18" i="1"/>
  <c r="B186" i="1"/>
  <c r="B172" i="1"/>
  <c r="B158" i="1"/>
  <c r="B144" i="1"/>
  <c r="B130" i="1"/>
  <c r="B116" i="1"/>
  <c r="B102" i="1"/>
  <c r="B88" i="1"/>
  <c r="B74" i="1"/>
  <c r="B60" i="1"/>
  <c r="B46" i="1"/>
  <c r="B32" i="1"/>
  <c r="B18" i="1"/>
  <c r="F186" i="4"/>
  <c r="G186" i="4"/>
  <c r="H186" i="4"/>
  <c r="F172" i="4"/>
  <c r="G172" i="4"/>
  <c r="H172" i="4"/>
  <c r="F158" i="4"/>
  <c r="G158" i="4"/>
  <c r="H158" i="4"/>
  <c r="F144" i="4"/>
  <c r="G144" i="4"/>
  <c r="H144" i="4"/>
  <c r="F130" i="4"/>
  <c r="G130" i="4"/>
  <c r="H130" i="4"/>
  <c r="F116" i="4"/>
  <c r="G116" i="4"/>
  <c r="H116" i="4"/>
  <c r="F102" i="4"/>
  <c r="G102" i="4"/>
  <c r="H102" i="4"/>
  <c r="F88" i="4"/>
  <c r="G88" i="4"/>
  <c r="H88" i="4"/>
  <c r="F74" i="4"/>
  <c r="G74" i="4"/>
  <c r="H74" i="4"/>
  <c r="F60" i="4"/>
  <c r="G60" i="4"/>
  <c r="H60" i="4"/>
  <c r="F46" i="4"/>
  <c r="F32" i="4"/>
  <c r="G32" i="4"/>
  <c r="H32" i="4"/>
  <c r="F18" i="4"/>
  <c r="G18" i="4"/>
  <c r="H18" i="4"/>
  <c r="B186" i="4"/>
  <c r="B172" i="4"/>
  <c r="B158" i="4"/>
  <c r="B144" i="4"/>
  <c r="B130" i="4"/>
  <c r="B116" i="4"/>
  <c r="B102" i="4"/>
  <c r="B88" i="4"/>
  <c r="B74" i="4"/>
  <c r="B60" i="4"/>
  <c r="B46" i="4"/>
  <c r="B32" i="4"/>
  <c r="B18" i="4"/>
  <c r="F172" i="5"/>
  <c r="G172" i="5"/>
  <c r="H172" i="5"/>
  <c r="B186" i="5"/>
  <c r="B172" i="5"/>
  <c r="B158" i="5"/>
  <c r="B144" i="5"/>
  <c r="B130" i="5"/>
  <c r="B116" i="5"/>
  <c r="B102" i="5"/>
  <c r="B88" i="5"/>
  <c r="B74" i="5"/>
  <c r="B60" i="5"/>
  <c r="B46" i="5"/>
  <c r="B32" i="5"/>
  <c r="B18" i="5"/>
  <c r="F185" i="3"/>
  <c r="G185" i="3"/>
  <c r="F171" i="3"/>
  <c r="G171" i="3"/>
  <c r="F157" i="3"/>
  <c r="G157" i="3"/>
  <c r="F143" i="3"/>
  <c r="G143" i="3"/>
  <c r="F129" i="3"/>
  <c r="G129" i="3"/>
  <c r="F115" i="3"/>
  <c r="G115" i="3"/>
  <c r="F101" i="3"/>
  <c r="G101" i="3"/>
  <c r="F87" i="3"/>
  <c r="G87" i="3"/>
  <c r="F73" i="3"/>
  <c r="G73" i="3"/>
  <c r="F59" i="3"/>
  <c r="G59" i="3"/>
  <c r="F45" i="3"/>
  <c r="G45" i="3"/>
  <c r="F31" i="3"/>
  <c r="G31" i="3"/>
  <c r="F17" i="3"/>
  <c r="G17" i="3"/>
  <c r="B185" i="3"/>
  <c r="B171" i="3"/>
  <c r="B157" i="3"/>
  <c r="B143" i="3"/>
  <c r="B129" i="3"/>
  <c r="B115" i="3"/>
  <c r="B101" i="3"/>
  <c r="B87" i="3"/>
  <c r="B73" i="3"/>
  <c r="B59" i="3"/>
  <c r="B45" i="3"/>
  <c r="B31" i="3"/>
  <c r="B17" i="3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39" i="2"/>
  <c r="A18" i="2"/>
  <c r="F100" i="1"/>
  <c r="F142" i="1"/>
  <c r="H185" i="1"/>
  <c r="M185" i="1"/>
  <c r="I185" i="1"/>
  <c r="J185" i="1"/>
  <c r="G185" i="1"/>
  <c r="F185" i="1"/>
  <c r="E185" i="1"/>
  <c r="H171" i="1"/>
  <c r="M171" i="1"/>
  <c r="I171" i="1"/>
  <c r="G171" i="1"/>
  <c r="E171" i="1"/>
  <c r="H157" i="1"/>
  <c r="M157" i="1"/>
  <c r="I157" i="1"/>
  <c r="J157" i="1"/>
  <c r="G157" i="1"/>
  <c r="F157" i="1"/>
  <c r="E157" i="1"/>
  <c r="H143" i="1"/>
  <c r="M143" i="1"/>
  <c r="I143" i="1"/>
  <c r="J143" i="1"/>
  <c r="G143" i="1"/>
  <c r="G147" i="1"/>
  <c r="F143" i="1"/>
  <c r="E143" i="1"/>
  <c r="H129" i="1"/>
  <c r="M129" i="1"/>
  <c r="I129" i="1"/>
  <c r="J129" i="1"/>
  <c r="G129" i="1"/>
  <c r="G133" i="1"/>
  <c r="H133" i="1"/>
  <c r="F129" i="1"/>
  <c r="E129" i="1"/>
  <c r="H115" i="1"/>
  <c r="M115" i="1"/>
  <c r="I115" i="1"/>
  <c r="J115" i="1"/>
  <c r="G115" i="1"/>
  <c r="F115" i="1"/>
  <c r="E115" i="1"/>
  <c r="H101" i="1"/>
  <c r="M101" i="1"/>
  <c r="I101" i="1"/>
  <c r="J101" i="1"/>
  <c r="G101" i="1"/>
  <c r="F101" i="1"/>
  <c r="E101" i="1"/>
  <c r="H87" i="1"/>
  <c r="M87" i="1"/>
  <c r="I87" i="1"/>
  <c r="J87" i="1"/>
  <c r="G87" i="1"/>
  <c r="G91" i="1"/>
  <c r="H91" i="1"/>
  <c r="F87" i="1"/>
  <c r="E87" i="1"/>
  <c r="H59" i="1"/>
  <c r="H73" i="1"/>
  <c r="M73" i="1"/>
  <c r="I73" i="1"/>
  <c r="J73" i="1"/>
  <c r="G73" i="1"/>
  <c r="F73" i="1"/>
  <c r="E73" i="1"/>
  <c r="M59" i="1"/>
  <c r="I59" i="1"/>
  <c r="J59" i="1"/>
  <c r="G59" i="1"/>
  <c r="F59" i="1"/>
  <c r="E59" i="1"/>
  <c r="H45" i="1"/>
  <c r="M45" i="1"/>
  <c r="I45" i="1"/>
  <c r="G45" i="1"/>
  <c r="F49" i="1"/>
  <c r="J49" i="1"/>
  <c r="E45" i="1"/>
  <c r="M31" i="1"/>
  <c r="I31" i="1"/>
  <c r="G31" i="1"/>
  <c r="E31" i="1"/>
  <c r="H17" i="1"/>
  <c r="M17" i="1"/>
  <c r="I17" i="1"/>
  <c r="J17" i="1"/>
  <c r="G17" i="1"/>
  <c r="F17" i="1"/>
  <c r="E17" i="1"/>
  <c r="B185" i="1"/>
  <c r="B171" i="1"/>
  <c r="B157" i="1"/>
  <c r="B143" i="1"/>
  <c r="B129" i="1"/>
  <c r="B115" i="1"/>
  <c r="B101" i="1"/>
  <c r="B87" i="1"/>
  <c r="B73" i="1"/>
  <c r="B59" i="1"/>
  <c r="B45" i="1"/>
  <c r="B31" i="1"/>
  <c r="B17" i="1"/>
  <c r="F185" i="4"/>
  <c r="G185" i="4"/>
  <c r="H185" i="4"/>
  <c r="F171" i="4"/>
  <c r="G171" i="4"/>
  <c r="H171" i="4"/>
  <c r="F157" i="4"/>
  <c r="G157" i="4"/>
  <c r="H157" i="4"/>
  <c r="F143" i="4"/>
  <c r="G143" i="4"/>
  <c r="H143" i="4"/>
  <c r="F129" i="4"/>
  <c r="G129" i="4"/>
  <c r="H129" i="4"/>
  <c r="F115" i="4"/>
  <c r="G115" i="4"/>
  <c r="H115" i="4"/>
  <c r="F101" i="4"/>
  <c r="G101" i="4"/>
  <c r="H101" i="4"/>
  <c r="F87" i="4"/>
  <c r="G87" i="4"/>
  <c r="H87" i="4"/>
  <c r="F73" i="4"/>
  <c r="G73" i="4"/>
  <c r="H73" i="4"/>
  <c r="F59" i="4"/>
  <c r="G59" i="4"/>
  <c r="H59" i="4"/>
  <c r="F45" i="4"/>
  <c r="G45" i="4"/>
  <c r="H45" i="4"/>
  <c r="F31" i="4"/>
  <c r="G31" i="4"/>
  <c r="H31" i="4"/>
  <c r="F17" i="4"/>
  <c r="G17" i="4"/>
  <c r="H17" i="4"/>
  <c r="B185" i="4"/>
  <c r="B171" i="4"/>
  <c r="B157" i="4"/>
  <c r="B143" i="4"/>
  <c r="B129" i="4"/>
  <c r="B115" i="4"/>
  <c r="B101" i="4"/>
  <c r="B87" i="4"/>
  <c r="B73" i="4"/>
  <c r="B59" i="4"/>
  <c r="B45" i="4"/>
  <c r="B31" i="4"/>
  <c r="B17" i="4"/>
  <c r="F171" i="5"/>
  <c r="G171" i="5"/>
  <c r="H171" i="5"/>
  <c r="B185" i="5"/>
  <c r="B171" i="5"/>
  <c r="B157" i="5"/>
  <c r="B143" i="5"/>
  <c r="B129" i="5"/>
  <c r="B115" i="5"/>
  <c r="B101" i="5"/>
  <c r="B87" i="5"/>
  <c r="B73" i="5"/>
  <c r="B59" i="5"/>
  <c r="B45" i="5"/>
  <c r="B31" i="5"/>
  <c r="B17" i="5"/>
  <c r="F184" i="3"/>
  <c r="G184" i="3"/>
  <c r="F170" i="3"/>
  <c r="G170" i="3"/>
  <c r="F156" i="3"/>
  <c r="G156" i="3"/>
  <c r="F142" i="3"/>
  <c r="G142" i="3"/>
  <c r="F128" i="3"/>
  <c r="G128" i="3"/>
  <c r="F114" i="3"/>
  <c r="G114" i="3"/>
  <c r="F100" i="3"/>
  <c r="G100" i="3"/>
  <c r="F86" i="3"/>
  <c r="G86" i="3"/>
  <c r="F72" i="3"/>
  <c r="G72" i="3"/>
  <c r="F58" i="3"/>
  <c r="G58" i="3"/>
  <c r="F44" i="3"/>
  <c r="G44" i="3"/>
  <c r="F30" i="3"/>
  <c r="G30" i="3"/>
  <c r="F16" i="3"/>
  <c r="G16" i="3"/>
  <c r="B184" i="3"/>
  <c r="B170" i="3"/>
  <c r="B156" i="3"/>
  <c r="B142" i="3"/>
  <c r="B128" i="3"/>
  <c r="B114" i="3"/>
  <c r="B100" i="3"/>
  <c r="B86" i="3"/>
  <c r="B72" i="3"/>
  <c r="B58" i="3"/>
  <c r="B44" i="3"/>
  <c r="B30" i="3"/>
  <c r="B16" i="3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38" i="2"/>
  <c r="A17" i="2"/>
  <c r="H184" i="1"/>
  <c r="M184" i="1"/>
  <c r="I184" i="1"/>
  <c r="J184" i="1"/>
  <c r="G184" i="1"/>
  <c r="F184" i="1"/>
  <c r="E184" i="1"/>
  <c r="M170" i="1"/>
  <c r="I170" i="1"/>
  <c r="G170" i="1"/>
  <c r="J170" i="1"/>
  <c r="E170" i="1"/>
  <c r="H156" i="1"/>
  <c r="M156" i="1"/>
  <c r="I156" i="1"/>
  <c r="J156" i="1"/>
  <c r="G156" i="1"/>
  <c r="G161" i="1"/>
  <c r="F156" i="1"/>
  <c r="E156" i="1"/>
  <c r="H142" i="1"/>
  <c r="M142" i="1"/>
  <c r="I142" i="1"/>
  <c r="G142" i="1"/>
  <c r="J142" i="1"/>
  <c r="E142" i="1"/>
  <c r="H128" i="1"/>
  <c r="M128" i="1"/>
  <c r="I128" i="1"/>
  <c r="J128" i="1"/>
  <c r="G128" i="1"/>
  <c r="F128" i="1"/>
  <c r="F133" i="1"/>
  <c r="J133" i="1"/>
  <c r="E128" i="1"/>
  <c r="M114" i="1"/>
  <c r="I114" i="1"/>
  <c r="G114" i="1"/>
  <c r="H114" i="1"/>
  <c r="E114" i="1"/>
  <c r="M100" i="1"/>
  <c r="I100" i="1"/>
  <c r="G100" i="1"/>
  <c r="H100" i="1"/>
  <c r="E100" i="1"/>
  <c r="H86" i="1"/>
  <c r="M86" i="1"/>
  <c r="I86" i="1"/>
  <c r="J86" i="1"/>
  <c r="G86" i="1"/>
  <c r="F86" i="1"/>
  <c r="E86" i="1"/>
  <c r="H72" i="1"/>
  <c r="M72" i="1"/>
  <c r="I72" i="1"/>
  <c r="J72" i="1"/>
  <c r="G72" i="1"/>
  <c r="F72" i="1"/>
  <c r="E72" i="1"/>
  <c r="H58" i="1"/>
  <c r="M58" i="1"/>
  <c r="I58" i="1"/>
  <c r="J58" i="1"/>
  <c r="G58" i="1"/>
  <c r="G63" i="1"/>
  <c r="F58" i="1"/>
  <c r="E58" i="1"/>
  <c r="H44" i="1"/>
  <c r="M44" i="1"/>
  <c r="I44" i="1"/>
  <c r="J44" i="1"/>
  <c r="G44" i="1"/>
  <c r="F44" i="1"/>
  <c r="E44" i="1"/>
  <c r="H30" i="1"/>
  <c r="M30" i="1"/>
  <c r="I30" i="1"/>
  <c r="J30" i="1"/>
  <c r="G30" i="1"/>
  <c r="F30" i="1"/>
  <c r="E30" i="1"/>
  <c r="H16" i="1"/>
  <c r="M16" i="1"/>
  <c r="I16" i="1"/>
  <c r="J16" i="1"/>
  <c r="G16" i="1"/>
  <c r="F16" i="1"/>
  <c r="F21" i="1"/>
  <c r="J21" i="1"/>
  <c r="E16" i="1"/>
  <c r="B184" i="1"/>
  <c r="B170" i="1"/>
  <c r="B156" i="1"/>
  <c r="B142" i="1"/>
  <c r="B128" i="1"/>
  <c r="B114" i="1"/>
  <c r="B100" i="1"/>
  <c r="B86" i="1"/>
  <c r="B72" i="1"/>
  <c r="B58" i="1"/>
  <c r="B44" i="1"/>
  <c r="B30" i="1"/>
  <c r="B16" i="1"/>
  <c r="F184" i="4"/>
  <c r="G184" i="4"/>
  <c r="H184" i="4"/>
  <c r="F170" i="4"/>
  <c r="G170" i="4"/>
  <c r="H170" i="4"/>
  <c r="F156" i="4"/>
  <c r="G156" i="4"/>
  <c r="H156" i="4"/>
  <c r="F142" i="4"/>
  <c r="G142" i="4"/>
  <c r="H142" i="4"/>
  <c r="F128" i="4"/>
  <c r="G128" i="4"/>
  <c r="H128" i="4"/>
  <c r="F114" i="4"/>
  <c r="G114" i="4"/>
  <c r="H114" i="4"/>
  <c r="F100" i="4"/>
  <c r="G100" i="4"/>
  <c r="H100" i="4"/>
  <c r="F86" i="4"/>
  <c r="G86" i="4"/>
  <c r="H86" i="4"/>
  <c r="F72" i="4"/>
  <c r="G72" i="4"/>
  <c r="H72" i="4"/>
  <c r="F58" i="4"/>
  <c r="G58" i="4"/>
  <c r="H58" i="4"/>
  <c r="F44" i="4"/>
  <c r="G44" i="4"/>
  <c r="H44" i="4"/>
  <c r="F30" i="4"/>
  <c r="G30" i="4"/>
  <c r="H30" i="4"/>
  <c r="F16" i="4"/>
  <c r="G16" i="4"/>
  <c r="H16" i="4"/>
  <c r="B184" i="4"/>
  <c r="B170" i="4"/>
  <c r="B156" i="4"/>
  <c r="B142" i="4"/>
  <c r="B128" i="4"/>
  <c r="B114" i="4"/>
  <c r="B100" i="4"/>
  <c r="B86" i="4"/>
  <c r="B72" i="4"/>
  <c r="B58" i="4"/>
  <c r="B44" i="4"/>
  <c r="B30" i="4"/>
  <c r="B16" i="4"/>
  <c r="F170" i="5"/>
  <c r="G170" i="5"/>
  <c r="H170" i="5"/>
  <c r="G58" i="5"/>
  <c r="H58" i="5"/>
  <c r="B184" i="5"/>
  <c r="B170" i="5"/>
  <c r="B156" i="5"/>
  <c r="B142" i="5"/>
  <c r="B128" i="5"/>
  <c r="B114" i="5"/>
  <c r="B100" i="5"/>
  <c r="B86" i="5"/>
  <c r="B72" i="5"/>
  <c r="B58" i="5"/>
  <c r="B44" i="5"/>
  <c r="B30" i="5"/>
  <c r="B16" i="5"/>
  <c r="F183" i="3"/>
  <c r="G183" i="3"/>
  <c r="F169" i="3"/>
  <c r="G169" i="3"/>
  <c r="F155" i="3"/>
  <c r="G155" i="3"/>
  <c r="F141" i="3"/>
  <c r="G141" i="3"/>
  <c r="F127" i="3"/>
  <c r="G127" i="3"/>
  <c r="F113" i="3"/>
  <c r="G113" i="3"/>
  <c r="F99" i="3"/>
  <c r="G99" i="3"/>
  <c r="F85" i="3"/>
  <c r="G85" i="3"/>
  <c r="F71" i="3"/>
  <c r="G71" i="3"/>
  <c r="F57" i="3"/>
  <c r="G57" i="3"/>
  <c r="F43" i="3"/>
  <c r="G43" i="3"/>
  <c r="F29" i="3"/>
  <c r="G29" i="3"/>
  <c r="F15" i="3"/>
  <c r="G15" i="3"/>
  <c r="B183" i="3"/>
  <c r="B169" i="3"/>
  <c r="B155" i="3"/>
  <c r="B141" i="3"/>
  <c r="B127" i="3"/>
  <c r="B113" i="3"/>
  <c r="B99" i="3"/>
  <c r="B85" i="3"/>
  <c r="B71" i="3"/>
  <c r="B57" i="3"/>
  <c r="B43" i="3"/>
  <c r="B29" i="3"/>
  <c r="B15" i="3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37" i="2"/>
  <c r="A16" i="2"/>
  <c r="F14" i="1"/>
  <c r="J14" i="1"/>
  <c r="F140" i="1"/>
  <c r="J140" i="1"/>
  <c r="H183" i="1"/>
  <c r="M183" i="1"/>
  <c r="I183" i="1"/>
  <c r="J183" i="1"/>
  <c r="G183" i="1"/>
  <c r="F183" i="1"/>
  <c r="E183" i="1"/>
  <c r="H169" i="1"/>
  <c r="M169" i="1"/>
  <c r="I169" i="1"/>
  <c r="J169" i="1"/>
  <c r="F169" i="1"/>
  <c r="G169" i="1"/>
  <c r="E169" i="1"/>
  <c r="H155" i="1"/>
  <c r="M155" i="1"/>
  <c r="I155" i="1"/>
  <c r="J155" i="1"/>
  <c r="G155" i="1"/>
  <c r="F155" i="1"/>
  <c r="E155" i="1"/>
  <c r="H141" i="1"/>
  <c r="M141" i="1"/>
  <c r="I141" i="1"/>
  <c r="J141" i="1"/>
  <c r="G141" i="1"/>
  <c r="F141" i="1"/>
  <c r="E141" i="1"/>
  <c r="H127" i="1"/>
  <c r="M127" i="1"/>
  <c r="I127" i="1"/>
  <c r="J127" i="1"/>
  <c r="G127" i="1"/>
  <c r="F127" i="1"/>
  <c r="E127" i="1"/>
  <c r="H113" i="1"/>
  <c r="M113" i="1"/>
  <c r="I113" i="1"/>
  <c r="J113" i="1"/>
  <c r="G113" i="1"/>
  <c r="F113" i="1"/>
  <c r="E113" i="1"/>
  <c r="H99" i="1"/>
  <c r="M99" i="1"/>
  <c r="I99" i="1"/>
  <c r="J99" i="1"/>
  <c r="G99" i="1"/>
  <c r="F99" i="1"/>
  <c r="E99" i="1"/>
  <c r="H85" i="1"/>
  <c r="M85" i="1"/>
  <c r="I85" i="1"/>
  <c r="J85" i="1"/>
  <c r="G85" i="1"/>
  <c r="F85" i="1"/>
  <c r="E85" i="1"/>
  <c r="H71" i="1"/>
  <c r="M71" i="1"/>
  <c r="I71" i="1"/>
  <c r="J71" i="1"/>
  <c r="G71" i="1"/>
  <c r="F71" i="1"/>
  <c r="E71" i="1"/>
  <c r="H57" i="1"/>
  <c r="M57" i="1"/>
  <c r="I57" i="1"/>
  <c r="J57" i="1"/>
  <c r="G57" i="1"/>
  <c r="F57" i="1"/>
  <c r="E57" i="1"/>
  <c r="H43" i="1"/>
  <c r="M43" i="1"/>
  <c r="I43" i="1"/>
  <c r="J43" i="1"/>
  <c r="G43" i="1"/>
  <c r="G49" i="1"/>
  <c r="F43" i="1"/>
  <c r="E43" i="1"/>
  <c r="H29" i="1"/>
  <c r="M29" i="1"/>
  <c r="I29" i="1"/>
  <c r="J29" i="1"/>
  <c r="G29" i="1"/>
  <c r="F29" i="1"/>
  <c r="E29" i="1"/>
  <c r="H15" i="1"/>
  <c r="M15" i="1"/>
  <c r="I15" i="1"/>
  <c r="J15" i="1"/>
  <c r="G15" i="1"/>
  <c r="F15" i="1"/>
  <c r="E15" i="1"/>
  <c r="B183" i="1"/>
  <c r="B169" i="1"/>
  <c r="B155" i="1"/>
  <c r="B141" i="1"/>
  <c r="B127" i="1"/>
  <c r="B113" i="1"/>
  <c r="B99" i="1"/>
  <c r="B85" i="1"/>
  <c r="B71" i="1"/>
  <c r="B57" i="1"/>
  <c r="B43" i="1"/>
  <c r="B29" i="1"/>
  <c r="B15" i="1"/>
  <c r="F183" i="4"/>
  <c r="G183" i="4"/>
  <c r="H183" i="4"/>
  <c r="F169" i="4"/>
  <c r="G169" i="4"/>
  <c r="H169" i="4"/>
  <c r="F155" i="4"/>
  <c r="G155" i="4"/>
  <c r="H155" i="4"/>
  <c r="F141" i="4"/>
  <c r="G141" i="4"/>
  <c r="H141" i="4"/>
  <c r="F127" i="4"/>
  <c r="G127" i="4"/>
  <c r="H127" i="4"/>
  <c r="F113" i="4"/>
  <c r="G113" i="4"/>
  <c r="H113" i="4"/>
  <c r="F99" i="4"/>
  <c r="G99" i="4"/>
  <c r="H99" i="4"/>
  <c r="F85" i="4"/>
  <c r="G85" i="4"/>
  <c r="H85" i="4"/>
  <c r="F71" i="4"/>
  <c r="G71" i="4"/>
  <c r="H71" i="4"/>
  <c r="F57" i="4"/>
  <c r="G57" i="4"/>
  <c r="H57" i="4"/>
  <c r="F43" i="4"/>
  <c r="G43" i="4"/>
  <c r="H43" i="4"/>
  <c r="F29" i="4"/>
  <c r="G29" i="4"/>
  <c r="H29" i="4"/>
  <c r="F15" i="4"/>
  <c r="G15" i="4"/>
  <c r="H15" i="4"/>
  <c r="B183" i="4"/>
  <c r="B169" i="4"/>
  <c r="B155" i="4"/>
  <c r="B141" i="4"/>
  <c r="B127" i="4"/>
  <c r="B113" i="4"/>
  <c r="B99" i="4"/>
  <c r="B85" i="4"/>
  <c r="B71" i="4"/>
  <c r="B57" i="4"/>
  <c r="B43" i="4"/>
  <c r="B29" i="4"/>
  <c r="B15" i="4"/>
  <c r="F169" i="5"/>
  <c r="G169" i="5"/>
  <c r="H169" i="5"/>
  <c r="G57" i="5"/>
  <c r="H57" i="5"/>
  <c r="B183" i="5"/>
  <c r="B169" i="5"/>
  <c r="B155" i="5"/>
  <c r="B141" i="5"/>
  <c r="B127" i="5"/>
  <c r="B113" i="5"/>
  <c r="B99" i="5"/>
  <c r="B85" i="5"/>
  <c r="B71" i="5"/>
  <c r="B57" i="5"/>
  <c r="B43" i="5"/>
  <c r="B29" i="5"/>
  <c r="B15" i="5"/>
  <c r="F182" i="3"/>
  <c r="G182" i="3"/>
  <c r="F168" i="3"/>
  <c r="G168" i="3"/>
  <c r="F154" i="3"/>
  <c r="G154" i="3"/>
  <c r="F140" i="3"/>
  <c r="G140" i="3"/>
  <c r="F126" i="3"/>
  <c r="G126" i="3"/>
  <c r="F112" i="3"/>
  <c r="G112" i="3"/>
  <c r="F98" i="3"/>
  <c r="G98" i="3"/>
  <c r="F84" i="3"/>
  <c r="G84" i="3"/>
  <c r="F70" i="3"/>
  <c r="G70" i="3"/>
  <c r="F56" i="3"/>
  <c r="G56" i="3"/>
  <c r="F42" i="3"/>
  <c r="G42" i="3"/>
  <c r="F28" i="3"/>
  <c r="G28" i="3"/>
  <c r="F14" i="3"/>
  <c r="G14" i="3"/>
  <c r="B182" i="3"/>
  <c r="B168" i="3"/>
  <c r="B154" i="3"/>
  <c r="B140" i="3"/>
  <c r="B126" i="3"/>
  <c r="B112" i="3"/>
  <c r="B98" i="3"/>
  <c r="B84" i="3"/>
  <c r="B70" i="3"/>
  <c r="B56" i="3"/>
  <c r="B42" i="3"/>
  <c r="B28" i="3"/>
  <c r="B14" i="3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36" i="2"/>
  <c r="A15" i="2"/>
  <c r="F55" i="1"/>
  <c r="F108" i="1"/>
  <c r="G96" i="1"/>
  <c r="H182" i="1"/>
  <c r="M182" i="1"/>
  <c r="I182" i="1"/>
  <c r="J182" i="1"/>
  <c r="G182" i="1"/>
  <c r="F182" i="1"/>
  <c r="E182" i="1"/>
  <c r="H168" i="1"/>
  <c r="M168" i="1"/>
  <c r="I168" i="1"/>
  <c r="J168" i="1"/>
  <c r="G168" i="1"/>
  <c r="F168" i="1"/>
  <c r="E168" i="1"/>
  <c r="H154" i="1"/>
  <c r="M154" i="1"/>
  <c r="I154" i="1"/>
  <c r="J154" i="1"/>
  <c r="G154" i="1"/>
  <c r="F154" i="1"/>
  <c r="E154" i="1"/>
  <c r="M140" i="1"/>
  <c r="I140" i="1"/>
  <c r="G140" i="1"/>
  <c r="E140" i="1"/>
  <c r="H126" i="1"/>
  <c r="M126" i="1"/>
  <c r="I126" i="1"/>
  <c r="J126" i="1"/>
  <c r="G126" i="1"/>
  <c r="F126" i="1"/>
  <c r="E126" i="1"/>
  <c r="H112" i="1"/>
  <c r="M112" i="1"/>
  <c r="I112" i="1"/>
  <c r="J112" i="1"/>
  <c r="G112" i="1"/>
  <c r="F112" i="1"/>
  <c r="E112" i="1"/>
  <c r="H98" i="1"/>
  <c r="M98" i="1"/>
  <c r="I98" i="1"/>
  <c r="J98" i="1"/>
  <c r="G98" i="1"/>
  <c r="F98" i="1"/>
  <c r="E98" i="1"/>
  <c r="H84" i="1"/>
  <c r="M84" i="1"/>
  <c r="I84" i="1"/>
  <c r="J84" i="1"/>
  <c r="G84" i="1"/>
  <c r="F84" i="1"/>
  <c r="E84" i="1"/>
  <c r="H70" i="1"/>
  <c r="M70" i="1"/>
  <c r="I70" i="1"/>
  <c r="J70" i="1"/>
  <c r="G70" i="1"/>
  <c r="F70" i="1"/>
  <c r="E70" i="1"/>
  <c r="H56" i="1"/>
  <c r="M56" i="1"/>
  <c r="I56" i="1"/>
  <c r="J56" i="1"/>
  <c r="G56" i="1"/>
  <c r="F56" i="1"/>
  <c r="E56" i="1"/>
  <c r="H42" i="1"/>
  <c r="M42" i="1"/>
  <c r="I42" i="1"/>
  <c r="J42" i="1"/>
  <c r="G42" i="1"/>
  <c r="F42" i="1"/>
  <c r="E42" i="1"/>
  <c r="H28" i="1"/>
  <c r="M28" i="1"/>
  <c r="I28" i="1"/>
  <c r="J28" i="1"/>
  <c r="G28" i="1"/>
  <c r="F28" i="1"/>
  <c r="E28" i="1"/>
  <c r="H14" i="1"/>
  <c r="M14" i="1"/>
  <c r="I14" i="1"/>
  <c r="G14" i="1"/>
  <c r="E14" i="1"/>
  <c r="B182" i="1"/>
  <c r="B168" i="1"/>
  <c r="B154" i="1"/>
  <c r="B140" i="1"/>
  <c r="B126" i="1"/>
  <c r="B112" i="1"/>
  <c r="B98" i="1"/>
  <c r="B84" i="1"/>
  <c r="B70" i="1"/>
  <c r="B56" i="1"/>
  <c r="B42" i="1"/>
  <c r="B28" i="1"/>
  <c r="B14" i="1"/>
  <c r="F182" i="4"/>
  <c r="G182" i="4"/>
  <c r="H182" i="4"/>
  <c r="F168" i="4"/>
  <c r="G168" i="4"/>
  <c r="H168" i="4"/>
  <c r="F154" i="4"/>
  <c r="G154" i="4"/>
  <c r="H154" i="4"/>
  <c r="F140" i="4"/>
  <c r="G140" i="4"/>
  <c r="H140" i="4"/>
  <c r="F126" i="4"/>
  <c r="G126" i="4"/>
  <c r="H126" i="4"/>
  <c r="F112" i="4"/>
  <c r="G112" i="4"/>
  <c r="H112" i="4"/>
  <c r="F98" i="4"/>
  <c r="G98" i="4"/>
  <c r="H98" i="4"/>
  <c r="F84" i="4"/>
  <c r="G84" i="4"/>
  <c r="H84" i="4"/>
  <c r="F70" i="4"/>
  <c r="G70" i="4"/>
  <c r="H70" i="4"/>
  <c r="F56" i="4"/>
  <c r="G56" i="4"/>
  <c r="H56" i="4"/>
  <c r="F42" i="4"/>
  <c r="G42" i="4"/>
  <c r="H42" i="4"/>
  <c r="F28" i="4"/>
  <c r="G28" i="4"/>
  <c r="H28" i="4"/>
  <c r="F14" i="4"/>
  <c r="G14" i="4"/>
  <c r="H14" i="4"/>
  <c r="B182" i="4"/>
  <c r="B168" i="4"/>
  <c r="B154" i="4"/>
  <c r="B140" i="4"/>
  <c r="B126" i="4"/>
  <c r="B112" i="4"/>
  <c r="B98" i="4"/>
  <c r="B84" i="4"/>
  <c r="B70" i="4"/>
  <c r="B56" i="4"/>
  <c r="B42" i="4"/>
  <c r="B28" i="4"/>
  <c r="B14" i="4"/>
  <c r="F168" i="5"/>
  <c r="G168" i="5"/>
  <c r="H168" i="5"/>
  <c r="G56" i="5"/>
  <c r="H56" i="5"/>
  <c r="F14" i="5"/>
  <c r="G14" i="5"/>
  <c r="H14" i="5"/>
  <c r="B182" i="5"/>
  <c r="B168" i="5"/>
  <c r="B154" i="5"/>
  <c r="B140" i="5"/>
  <c r="B126" i="5"/>
  <c r="B112" i="5"/>
  <c r="B98" i="5"/>
  <c r="B84" i="5"/>
  <c r="B70" i="5"/>
  <c r="B56" i="5"/>
  <c r="B42" i="5"/>
  <c r="B28" i="5"/>
  <c r="B14" i="5"/>
  <c r="F181" i="3"/>
  <c r="G181" i="3"/>
  <c r="F167" i="3"/>
  <c r="G167" i="3"/>
  <c r="F153" i="3"/>
  <c r="G153" i="3"/>
  <c r="F139" i="3"/>
  <c r="G139" i="3"/>
  <c r="F125" i="3"/>
  <c r="G125" i="3"/>
  <c r="F111" i="3"/>
  <c r="G111" i="3"/>
  <c r="F97" i="3"/>
  <c r="G97" i="3"/>
  <c r="F83" i="3"/>
  <c r="G83" i="3"/>
  <c r="F69" i="3"/>
  <c r="G69" i="3"/>
  <c r="F55" i="3"/>
  <c r="G55" i="3"/>
  <c r="F41" i="3"/>
  <c r="G41" i="3"/>
  <c r="F27" i="3"/>
  <c r="G27" i="3"/>
  <c r="F13" i="3"/>
  <c r="G13" i="3"/>
  <c r="B181" i="3"/>
  <c r="B167" i="3"/>
  <c r="B153" i="3"/>
  <c r="B139" i="3"/>
  <c r="B125" i="3"/>
  <c r="B111" i="3"/>
  <c r="B97" i="3"/>
  <c r="B83" i="3"/>
  <c r="B69" i="3"/>
  <c r="B55" i="3"/>
  <c r="B41" i="3"/>
  <c r="B27" i="3"/>
  <c r="B13" i="3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F25" i="1"/>
  <c r="J25" i="1"/>
  <c r="F26" i="1"/>
  <c r="H181" i="1"/>
  <c r="M181" i="1"/>
  <c r="I181" i="1"/>
  <c r="J181" i="1"/>
  <c r="G181" i="1"/>
  <c r="F181" i="1"/>
  <c r="E181" i="1"/>
  <c r="H167" i="1"/>
  <c r="M167" i="1"/>
  <c r="I167" i="1"/>
  <c r="J167" i="1"/>
  <c r="G167" i="1"/>
  <c r="F167" i="1"/>
  <c r="E167" i="1"/>
  <c r="H153" i="1"/>
  <c r="M153" i="1"/>
  <c r="I153" i="1"/>
  <c r="J153" i="1"/>
  <c r="G153" i="1"/>
  <c r="F153" i="1"/>
  <c r="E153" i="1"/>
  <c r="H139" i="1"/>
  <c r="M139" i="1"/>
  <c r="I139" i="1"/>
  <c r="J139" i="1"/>
  <c r="G139" i="1"/>
  <c r="F139" i="1"/>
  <c r="E139" i="1"/>
  <c r="H125" i="1"/>
  <c r="M125" i="1"/>
  <c r="I125" i="1"/>
  <c r="J125" i="1"/>
  <c r="G125" i="1"/>
  <c r="F125" i="1"/>
  <c r="E125" i="1"/>
  <c r="H111" i="1"/>
  <c r="M111" i="1"/>
  <c r="I111" i="1"/>
  <c r="G111" i="1"/>
  <c r="F111" i="1"/>
  <c r="J111" i="1"/>
  <c r="E111" i="1"/>
  <c r="H97" i="1"/>
  <c r="M97" i="1"/>
  <c r="I97" i="1"/>
  <c r="J97" i="1"/>
  <c r="G97" i="1"/>
  <c r="E97" i="1"/>
  <c r="H83" i="1"/>
  <c r="M83" i="1"/>
  <c r="I83" i="1"/>
  <c r="J83" i="1"/>
  <c r="G83" i="1"/>
  <c r="F83" i="1"/>
  <c r="E83" i="1"/>
  <c r="H69" i="1"/>
  <c r="M69" i="1"/>
  <c r="I69" i="1"/>
  <c r="J69" i="1"/>
  <c r="G69" i="1"/>
  <c r="F69" i="1"/>
  <c r="E69" i="1"/>
  <c r="M55" i="1"/>
  <c r="I55" i="1"/>
  <c r="G55" i="1"/>
  <c r="H55" i="1"/>
  <c r="E55" i="1"/>
  <c r="H41" i="1"/>
  <c r="M41" i="1"/>
  <c r="I41" i="1"/>
  <c r="J41" i="1"/>
  <c r="G41" i="1"/>
  <c r="F41" i="1"/>
  <c r="E41" i="1"/>
  <c r="H27" i="1"/>
  <c r="M27" i="1"/>
  <c r="I27" i="1"/>
  <c r="J27" i="1"/>
  <c r="G27" i="1"/>
  <c r="F27" i="1"/>
  <c r="E27" i="1"/>
  <c r="H13" i="1"/>
  <c r="M13" i="1"/>
  <c r="I13" i="1"/>
  <c r="J13" i="1"/>
  <c r="G13" i="1"/>
  <c r="F13" i="1"/>
  <c r="E13" i="1"/>
  <c r="B181" i="1"/>
  <c r="B167" i="1"/>
  <c r="B153" i="1"/>
  <c r="B139" i="1"/>
  <c r="B125" i="1"/>
  <c r="B111" i="1"/>
  <c r="B97" i="1"/>
  <c r="B83" i="1"/>
  <c r="B69" i="1"/>
  <c r="B55" i="1"/>
  <c r="B41" i="1"/>
  <c r="B27" i="1"/>
  <c r="B13" i="1"/>
  <c r="F181" i="4"/>
  <c r="G181" i="4"/>
  <c r="H181" i="4"/>
  <c r="F167" i="4"/>
  <c r="G167" i="4"/>
  <c r="H167" i="4"/>
  <c r="F153" i="4"/>
  <c r="G153" i="4"/>
  <c r="H153" i="4"/>
  <c r="F139" i="4"/>
  <c r="G139" i="4"/>
  <c r="H139" i="4"/>
  <c r="F125" i="4"/>
  <c r="G125" i="4"/>
  <c r="H125" i="4"/>
  <c r="F111" i="4"/>
  <c r="G111" i="4"/>
  <c r="H111" i="4"/>
  <c r="F97" i="4"/>
  <c r="G97" i="4"/>
  <c r="H97" i="4"/>
  <c r="F83" i="4"/>
  <c r="G83" i="4"/>
  <c r="H83" i="4"/>
  <c r="F69" i="4"/>
  <c r="G69" i="4"/>
  <c r="H69" i="4"/>
  <c r="F55" i="4"/>
  <c r="G55" i="4"/>
  <c r="H55" i="4"/>
  <c r="F41" i="4"/>
  <c r="G41" i="4"/>
  <c r="H41" i="4"/>
  <c r="F27" i="4"/>
  <c r="G27" i="4"/>
  <c r="H27" i="4"/>
  <c r="G13" i="4"/>
  <c r="H13" i="4"/>
  <c r="F13" i="4"/>
  <c r="B181" i="4"/>
  <c r="B167" i="4"/>
  <c r="B153" i="4"/>
  <c r="B139" i="4"/>
  <c r="B125" i="4"/>
  <c r="B111" i="4"/>
  <c r="B97" i="4"/>
  <c r="B83" i="4"/>
  <c r="B69" i="4"/>
  <c r="B55" i="4"/>
  <c r="B41" i="4"/>
  <c r="B27" i="4"/>
  <c r="B13" i="4"/>
  <c r="G13" i="5"/>
  <c r="H13" i="5"/>
  <c r="H55" i="5"/>
  <c r="G55" i="5"/>
  <c r="G167" i="5"/>
  <c r="H167" i="5"/>
  <c r="F167" i="5"/>
  <c r="B181" i="5"/>
  <c r="B167" i="5"/>
  <c r="B153" i="5"/>
  <c r="B139" i="5"/>
  <c r="B125" i="5"/>
  <c r="B111" i="5"/>
  <c r="B97" i="5"/>
  <c r="B83" i="5"/>
  <c r="B69" i="5"/>
  <c r="B55" i="5"/>
  <c r="B41" i="5"/>
  <c r="B27" i="5"/>
  <c r="B13" i="5"/>
  <c r="F180" i="3"/>
  <c r="G180" i="3"/>
  <c r="F166" i="3"/>
  <c r="G166" i="3"/>
  <c r="F152" i="3"/>
  <c r="G152" i="3"/>
  <c r="F138" i="3"/>
  <c r="G138" i="3"/>
  <c r="F124" i="3"/>
  <c r="G124" i="3"/>
  <c r="F110" i="3"/>
  <c r="G110" i="3"/>
  <c r="F96" i="3"/>
  <c r="G96" i="3"/>
  <c r="F82" i="3"/>
  <c r="G82" i="3"/>
  <c r="F68" i="3"/>
  <c r="G68" i="3"/>
  <c r="F54" i="3"/>
  <c r="G54" i="3"/>
  <c r="F40" i="3"/>
  <c r="G40" i="3"/>
  <c r="F26" i="3"/>
  <c r="G26" i="3"/>
  <c r="G12" i="3"/>
  <c r="F12" i="3"/>
  <c r="B180" i="3"/>
  <c r="B166" i="3"/>
  <c r="B152" i="3"/>
  <c r="B138" i="3"/>
  <c r="B124" i="3"/>
  <c r="B110" i="3"/>
  <c r="B96" i="3"/>
  <c r="B82" i="3"/>
  <c r="B68" i="3"/>
  <c r="B54" i="3"/>
  <c r="B40" i="3"/>
  <c r="B26" i="3"/>
  <c r="B12" i="3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34" i="2"/>
  <c r="A13" i="2"/>
  <c r="F39" i="1"/>
  <c r="F95" i="1"/>
  <c r="J95" i="1"/>
  <c r="H180" i="1"/>
  <c r="M180" i="1"/>
  <c r="I180" i="1"/>
  <c r="J180" i="1"/>
  <c r="G180" i="1"/>
  <c r="F180" i="1"/>
  <c r="E180" i="1"/>
  <c r="H166" i="1"/>
  <c r="M166" i="1"/>
  <c r="I166" i="1"/>
  <c r="J166" i="1"/>
  <c r="G166" i="1"/>
  <c r="F166" i="1"/>
  <c r="E166" i="1"/>
  <c r="H152" i="1"/>
  <c r="M152" i="1"/>
  <c r="I152" i="1"/>
  <c r="J152" i="1"/>
  <c r="G152" i="1"/>
  <c r="F152" i="1"/>
  <c r="E152" i="1"/>
  <c r="H138" i="1"/>
  <c r="M138" i="1"/>
  <c r="I138" i="1"/>
  <c r="J138" i="1"/>
  <c r="G138" i="1"/>
  <c r="F138" i="1"/>
  <c r="E138" i="1"/>
  <c r="H124" i="1"/>
  <c r="M124" i="1"/>
  <c r="I124" i="1"/>
  <c r="J124" i="1"/>
  <c r="G124" i="1"/>
  <c r="F124" i="1"/>
  <c r="E124" i="1"/>
  <c r="H110" i="1"/>
  <c r="M110" i="1"/>
  <c r="I110" i="1"/>
  <c r="J110" i="1"/>
  <c r="G110" i="1"/>
  <c r="F110" i="1"/>
  <c r="E110" i="1"/>
  <c r="M96" i="1"/>
  <c r="I96" i="1"/>
  <c r="J96" i="1"/>
  <c r="H96" i="1"/>
  <c r="F96" i="1"/>
  <c r="E96" i="1"/>
  <c r="H82" i="1"/>
  <c r="M82" i="1"/>
  <c r="I82" i="1"/>
  <c r="J82" i="1"/>
  <c r="G82" i="1"/>
  <c r="F82" i="1"/>
  <c r="E82" i="1"/>
  <c r="H68" i="1"/>
  <c r="M68" i="1"/>
  <c r="I68" i="1"/>
  <c r="J68" i="1"/>
  <c r="G68" i="1"/>
  <c r="F68" i="1"/>
  <c r="E68" i="1"/>
  <c r="H54" i="1"/>
  <c r="M54" i="1"/>
  <c r="I54" i="1"/>
  <c r="J54" i="1"/>
  <c r="G54" i="1"/>
  <c r="F54" i="1"/>
  <c r="E54" i="1"/>
  <c r="H40" i="1"/>
  <c r="M40" i="1"/>
  <c r="I40" i="1"/>
  <c r="J40" i="1"/>
  <c r="G40" i="1"/>
  <c r="F40" i="1"/>
  <c r="E40" i="1"/>
  <c r="M26" i="1"/>
  <c r="I26" i="1"/>
  <c r="G26" i="1"/>
  <c r="H26" i="1"/>
  <c r="E26" i="1"/>
  <c r="M12" i="1"/>
  <c r="I12" i="1"/>
  <c r="E12" i="1"/>
  <c r="G12" i="1"/>
  <c r="F12" i="1"/>
  <c r="H12" i="1"/>
  <c r="B180" i="1"/>
  <c r="B166" i="1"/>
  <c r="B152" i="1"/>
  <c r="B138" i="1"/>
  <c r="B124" i="1"/>
  <c r="B110" i="1"/>
  <c r="B96" i="1"/>
  <c r="B82" i="1"/>
  <c r="B68" i="1"/>
  <c r="B54" i="1"/>
  <c r="B40" i="1"/>
  <c r="B26" i="1"/>
  <c r="B12" i="1"/>
  <c r="G180" i="4"/>
  <c r="H180" i="4"/>
  <c r="F180" i="4"/>
  <c r="G166" i="4"/>
  <c r="H166" i="4"/>
  <c r="F166" i="4"/>
  <c r="G152" i="4"/>
  <c r="H152" i="4"/>
  <c r="F152" i="4"/>
  <c r="G138" i="4"/>
  <c r="H138" i="4"/>
  <c r="F138" i="4"/>
  <c r="G124" i="4"/>
  <c r="H124" i="4"/>
  <c r="F124" i="4"/>
  <c r="G110" i="4"/>
  <c r="H110" i="4"/>
  <c r="F110" i="4"/>
  <c r="G96" i="4"/>
  <c r="H96" i="4"/>
  <c r="F96" i="4"/>
  <c r="G82" i="4"/>
  <c r="H82" i="4"/>
  <c r="F82" i="4"/>
  <c r="G68" i="4"/>
  <c r="H68" i="4"/>
  <c r="F68" i="4"/>
  <c r="G54" i="4"/>
  <c r="H54" i="4"/>
  <c r="F54" i="4"/>
  <c r="G40" i="4"/>
  <c r="H40" i="4"/>
  <c r="F40" i="4"/>
  <c r="G26" i="4"/>
  <c r="H26" i="4"/>
  <c r="F26" i="4"/>
  <c r="H12" i="4"/>
  <c r="G12" i="4"/>
  <c r="F12" i="4"/>
  <c r="B180" i="4"/>
  <c r="B166" i="4"/>
  <c r="B152" i="4"/>
  <c r="B138" i="4"/>
  <c r="B124" i="4"/>
  <c r="B110" i="4"/>
  <c r="B96" i="4"/>
  <c r="B82" i="4"/>
  <c r="B68" i="4"/>
  <c r="B54" i="4"/>
  <c r="B40" i="4"/>
  <c r="B26" i="4"/>
  <c r="B12" i="4"/>
  <c r="G166" i="5"/>
  <c r="H166" i="5"/>
  <c r="F166" i="5"/>
  <c r="G54" i="5"/>
  <c r="H54" i="5"/>
  <c r="G12" i="5"/>
  <c r="H12" i="5"/>
  <c r="B180" i="5"/>
  <c r="B166" i="5"/>
  <c r="B152" i="5"/>
  <c r="B138" i="5"/>
  <c r="B124" i="5"/>
  <c r="B110" i="5"/>
  <c r="B96" i="5"/>
  <c r="B82" i="5"/>
  <c r="B68" i="5"/>
  <c r="B54" i="5"/>
  <c r="B40" i="5"/>
  <c r="B26" i="5"/>
  <c r="B12" i="5"/>
  <c r="G179" i="3"/>
  <c r="F179" i="3"/>
  <c r="G165" i="3"/>
  <c r="F165" i="3"/>
  <c r="G151" i="3"/>
  <c r="F151" i="3"/>
  <c r="G137" i="3"/>
  <c r="F137" i="3"/>
  <c r="G123" i="3"/>
  <c r="F123" i="3"/>
  <c r="G109" i="3"/>
  <c r="F109" i="3"/>
  <c r="G95" i="3"/>
  <c r="F95" i="3"/>
  <c r="G81" i="3"/>
  <c r="F81" i="3"/>
  <c r="G67" i="3"/>
  <c r="F67" i="3"/>
  <c r="G53" i="3"/>
  <c r="F53" i="3"/>
  <c r="G39" i="3"/>
  <c r="F39" i="3"/>
  <c r="G25" i="3"/>
  <c r="F25" i="3"/>
  <c r="G11" i="3"/>
  <c r="F11" i="3"/>
  <c r="B179" i="3"/>
  <c r="B165" i="3"/>
  <c r="B151" i="3"/>
  <c r="B137" i="3"/>
  <c r="B123" i="3"/>
  <c r="B109" i="3"/>
  <c r="B95" i="3"/>
  <c r="B81" i="3"/>
  <c r="B67" i="3"/>
  <c r="B53" i="3"/>
  <c r="B39" i="3"/>
  <c r="B25" i="3"/>
  <c r="B11" i="3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33" i="2"/>
  <c r="A12" i="2"/>
  <c r="F80" i="1"/>
  <c r="F91" i="1"/>
  <c r="M179" i="1"/>
  <c r="J179" i="1"/>
  <c r="I179" i="1"/>
  <c r="H179" i="1"/>
  <c r="E179" i="1"/>
  <c r="G179" i="1"/>
  <c r="F179" i="1"/>
  <c r="M165" i="1"/>
  <c r="J165" i="1"/>
  <c r="I165" i="1"/>
  <c r="H165" i="1"/>
  <c r="E165" i="1"/>
  <c r="G165" i="1"/>
  <c r="F165" i="1"/>
  <c r="M151" i="1"/>
  <c r="J151" i="1"/>
  <c r="I151" i="1"/>
  <c r="H151" i="1"/>
  <c r="E151" i="1"/>
  <c r="G151" i="1"/>
  <c r="F151" i="1"/>
  <c r="M137" i="1"/>
  <c r="J137" i="1"/>
  <c r="I137" i="1"/>
  <c r="H137" i="1"/>
  <c r="E137" i="1"/>
  <c r="G137" i="1"/>
  <c r="F137" i="1"/>
  <c r="M123" i="1"/>
  <c r="J123" i="1"/>
  <c r="I123" i="1"/>
  <c r="H123" i="1"/>
  <c r="E123" i="1"/>
  <c r="G123" i="1"/>
  <c r="F123" i="1"/>
  <c r="M109" i="1"/>
  <c r="J109" i="1"/>
  <c r="I109" i="1"/>
  <c r="H109" i="1"/>
  <c r="E109" i="1"/>
  <c r="G109" i="1"/>
  <c r="F109" i="1"/>
  <c r="M95" i="1"/>
  <c r="I95" i="1"/>
  <c r="E95" i="1"/>
  <c r="G95" i="1"/>
  <c r="M81" i="1"/>
  <c r="J81" i="1"/>
  <c r="I81" i="1"/>
  <c r="H81" i="1"/>
  <c r="E81" i="1"/>
  <c r="G81" i="1"/>
  <c r="F81" i="1"/>
  <c r="M67" i="1"/>
  <c r="J67" i="1"/>
  <c r="I67" i="1"/>
  <c r="H67" i="1"/>
  <c r="E67" i="1"/>
  <c r="G67" i="1"/>
  <c r="F67" i="1"/>
  <c r="M53" i="1"/>
  <c r="J53" i="1"/>
  <c r="I53" i="1"/>
  <c r="H53" i="1"/>
  <c r="E53" i="1"/>
  <c r="G53" i="1"/>
  <c r="F53" i="1"/>
  <c r="M39" i="1"/>
  <c r="J39" i="1"/>
  <c r="I39" i="1"/>
  <c r="E39" i="1"/>
  <c r="G39" i="1"/>
  <c r="H39" i="1"/>
  <c r="M25" i="1"/>
  <c r="I25" i="1"/>
  <c r="E25" i="1"/>
  <c r="G25" i="1"/>
  <c r="M11" i="1"/>
  <c r="J11" i="1"/>
  <c r="I11" i="1"/>
  <c r="H11" i="1"/>
  <c r="E11" i="1"/>
  <c r="G11" i="1"/>
  <c r="F11" i="1"/>
  <c r="B179" i="1"/>
  <c r="B165" i="1"/>
  <c r="B151" i="1"/>
  <c r="B137" i="1"/>
  <c r="B123" i="1"/>
  <c r="B109" i="1"/>
  <c r="B95" i="1"/>
  <c r="B81" i="1"/>
  <c r="B67" i="1"/>
  <c r="B53" i="1"/>
  <c r="B39" i="1"/>
  <c r="B25" i="1"/>
  <c r="B11" i="1"/>
  <c r="H179" i="4"/>
  <c r="G179" i="4"/>
  <c r="F179" i="4"/>
  <c r="G165" i="4"/>
  <c r="H165" i="4"/>
  <c r="F165" i="4"/>
  <c r="G151" i="4"/>
  <c r="H151" i="4"/>
  <c r="F151" i="4"/>
  <c r="G137" i="4"/>
  <c r="H137" i="4"/>
  <c r="F137" i="4"/>
  <c r="G123" i="4"/>
  <c r="H123" i="4"/>
  <c r="F123" i="4"/>
  <c r="H109" i="4"/>
  <c r="G109" i="4"/>
  <c r="F109" i="4"/>
  <c r="G95" i="4"/>
  <c r="H95" i="4"/>
  <c r="F95" i="4"/>
  <c r="G81" i="4"/>
  <c r="H81" i="4"/>
  <c r="F81" i="4"/>
  <c r="G67" i="4"/>
  <c r="H67" i="4"/>
  <c r="F67" i="4"/>
  <c r="G53" i="4"/>
  <c r="H53" i="4"/>
  <c r="F53" i="4"/>
  <c r="G39" i="4"/>
  <c r="H39" i="4"/>
  <c r="F39" i="4"/>
  <c r="G25" i="4"/>
  <c r="H25" i="4"/>
  <c r="F25" i="4"/>
  <c r="G11" i="4"/>
  <c r="H11" i="4"/>
  <c r="F11" i="4"/>
  <c r="B179" i="4"/>
  <c r="B165" i="4"/>
  <c r="B151" i="4"/>
  <c r="B137" i="4"/>
  <c r="B123" i="4"/>
  <c r="B109" i="4"/>
  <c r="B95" i="4"/>
  <c r="B81" i="4"/>
  <c r="B67" i="4"/>
  <c r="B53" i="4"/>
  <c r="B39" i="4"/>
  <c r="B25" i="4"/>
  <c r="B11" i="4"/>
  <c r="G11" i="5"/>
  <c r="H11" i="5"/>
  <c r="G53" i="5"/>
  <c r="H53" i="5"/>
  <c r="G165" i="5"/>
  <c r="H165" i="5"/>
  <c r="F165" i="5"/>
  <c r="B179" i="5"/>
  <c r="B165" i="5"/>
  <c r="B151" i="5"/>
  <c r="B137" i="5"/>
  <c r="B123" i="5"/>
  <c r="B109" i="5"/>
  <c r="B95" i="5"/>
  <c r="B81" i="5"/>
  <c r="B67" i="5"/>
  <c r="B53" i="5"/>
  <c r="B39" i="5"/>
  <c r="B25" i="5"/>
  <c r="B11" i="5"/>
  <c r="G178" i="3"/>
  <c r="F178" i="3"/>
  <c r="G164" i="3"/>
  <c r="F164" i="3"/>
  <c r="G150" i="3"/>
  <c r="F150" i="3"/>
  <c r="G136" i="3"/>
  <c r="F136" i="3"/>
  <c r="G122" i="3"/>
  <c r="F122" i="3"/>
  <c r="G108" i="3"/>
  <c r="F108" i="3"/>
  <c r="G94" i="3"/>
  <c r="F94" i="3"/>
  <c r="G80" i="3"/>
  <c r="F80" i="3"/>
  <c r="G66" i="3"/>
  <c r="F66" i="3"/>
  <c r="G52" i="3"/>
  <c r="F52" i="3"/>
  <c r="G38" i="3"/>
  <c r="F38" i="3"/>
  <c r="G24" i="3"/>
  <c r="F24" i="3"/>
  <c r="G10" i="3"/>
  <c r="F10" i="3"/>
  <c r="B178" i="3"/>
  <c r="B164" i="3"/>
  <c r="B150" i="3"/>
  <c r="B136" i="3"/>
  <c r="B122" i="3"/>
  <c r="B108" i="3"/>
  <c r="B94" i="3"/>
  <c r="B80" i="3"/>
  <c r="B66" i="3"/>
  <c r="B52" i="3"/>
  <c r="B38" i="3"/>
  <c r="B24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32" i="2"/>
  <c r="A11" i="2"/>
  <c r="F163" i="1"/>
  <c r="F135" i="1"/>
  <c r="J135" i="1"/>
  <c r="F9" i="1"/>
  <c r="H9" i="1"/>
  <c r="M178" i="1"/>
  <c r="J178" i="1"/>
  <c r="I178" i="1"/>
  <c r="H178" i="1"/>
  <c r="E178" i="1"/>
  <c r="G178" i="1"/>
  <c r="F178" i="1"/>
  <c r="M164" i="1"/>
  <c r="J164" i="1"/>
  <c r="I164" i="1"/>
  <c r="H164" i="1"/>
  <c r="E164" i="1"/>
  <c r="G164" i="1"/>
  <c r="F164" i="1"/>
  <c r="M150" i="1"/>
  <c r="J150" i="1"/>
  <c r="I150" i="1"/>
  <c r="H150" i="1"/>
  <c r="E150" i="1"/>
  <c r="G150" i="1"/>
  <c r="F150" i="1"/>
  <c r="M136" i="1"/>
  <c r="J136" i="1"/>
  <c r="I136" i="1"/>
  <c r="H136" i="1"/>
  <c r="E136" i="1"/>
  <c r="G136" i="1"/>
  <c r="F136" i="1"/>
  <c r="M122" i="1"/>
  <c r="J122" i="1"/>
  <c r="I122" i="1"/>
  <c r="H122" i="1"/>
  <c r="E122" i="1"/>
  <c r="G122" i="1"/>
  <c r="F122" i="1"/>
  <c r="M108" i="1"/>
  <c r="I108" i="1"/>
  <c r="E108" i="1"/>
  <c r="G108" i="1"/>
  <c r="M94" i="1"/>
  <c r="J94" i="1"/>
  <c r="I94" i="1"/>
  <c r="H94" i="1"/>
  <c r="E94" i="1"/>
  <c r="G94" i="1"/>
  <c r="F94" i="1"/>
  <c r="M80" i="1"/>
  <c r="I80" i="1"/>
  <c r="E80" i="1"/>
  <c r="G80" i="1"/>
  <c r="M66" i="1"/>
  <c r="J66" i="1"/>
  <c r="I66" i="1"/>
  <c r="H66" i="1"/>
  <c r="E66" i="1"/>
  <c r="G66" i="1"/>
  <c r="F66" i="1"/>
  <c r="M52" i="1"/>
  <c r="J52" i="1"/>
  <c r="I52" i="1"/>
  <c r="H52" i="1"/>
  <c r="E52" i="1"/>
  <c r="G52" i="1"/>
  <c r="F52" i="1"/>
  <c r="M38" i="1"/>
  <c r="J38" i="1"/>
  <c r="I38" i="1"/>
  <c r="H38" i="1"/>
  <c r="E38" i="1"/>
  <c r="G38" i="1"/>
  <c r="F38" i="1"/>
  <c r="M24" i="1"/>
  <c r="J24" i="1"/>
  <c r="I24" i="1"/>
  <c r="H24" i="1"/>
  <c r="E24" i="1"/>
  <c r="G24" i="1"/>
  <c r="F24" i="1"/>
  <c r="M10" i="1"/>
  <c r="J10" i="1"/>
  <c r="I10" i="1"/>
  <c r="H10" i="1"/>
  <c r="E10" i="1"/>
  <c r="G10" i="1"/>
  <c r="F10" i="1"/>
  <c r="B178" i="1"/>
  <c r="B164" i="1"/>
  <c r="B150" i="1"/>
  <c r="B136" i="1"/>
  <c r="B122" i="1"/>
  <c r="B108" i="1"/>
  <c r="B94" i="1"/>
  <c r="B80" i="1"/>
  <c r="B66" i="1"/>
  <c r="B52" i="1"/>
  <c r="B38" i="1"/>
  <c r="B24" i="1"/>
  <c r="B10" i="1"/>
  <c r="B178" i="4"/>
  <c r="B164" i="4"/>
  <c r="B150" i="4"/>
  <c r="B136" i="4"/>
  <c r="B122" i="4"/>
  <c r="B108" i="4"/>
  <c r="B94" i="4"/>
  <c r="B80" i="4"/>
  <c r="B66" i="4"/>
  <c r="B52" i="4"/>
  <c r="B38" i="4"/>
  <c r="B24" i="4"/>
  <c r="B10" i="4"/>
  <c r="F164" i="5"/>
  <c r="G52" i="5"/>
  <c r="H52" i="5"/>
  <c r="H10" i="5"/>
  <c r="G10" i="5"/>
  <c r="B178" i="5"/>
  <c r="B164" i="5"/>
  <c r="B150" i="5"/>
  <c r="B136" i="5"/>
  <c r="B122" i="5"/>
  <c r="B108" i="5"/>
  <c r="B94" i="5"/>
  <c r="B80" i="5"/>
  <c r="B66" i="5"/>
  <c r="B52" i="5"/>
  <c r="B38" i="5"/>
  <c r="B24" i="5"/>
  <c r="B10" i="5"/>
  <c r="B177" i="3"/>
  <c r="B163" i="3"/>
  <c r="B149" i="3"/>
  <c r="B135" i="3"/>
  <c r="B121" i="3"/>
  <c r="B107" i="3"/>
  <c r="B93" i="3"/>
  <c r="B79" i="3"/>
  <c r="B65" i="3"/>
  <c r="B51" i="3"/>
  <c r="B37" i="3"/>
  <c r="B23" i="3"/>
  <c r="B9" i="3"/>
  <c r="A31" i="2"/>
  <c r="A10" i="2"/>
  <c r="G177" i="1"/>
  <c r="F177" i="1"/>
  <c r="G163" i="1"/>
  <c r="G149" i="1"/>
  <c r="F149" i="1"/>
  <c r="J149" i="1"/>
  <c r="G135" i="1"/>
  <c r="G121" i="1"/>
  <c r="F121" i="1"/>
  <c r="J121" i="1"/>
  <c r="G107" i="1"/>
  <c r="F107" i="1"/>
  <c r="G93" i="1"/>
  <c r="F93" i="1"/>
  <c r="G79" i="1"/>
  <c r="F79" i="1"/>
  <c r="G65" i="1"/>
  <c r="F65" i="1"/>
  <c r="G51" i="1"/>
  <c r="F51" i="1"/>
  <c r="G37" i="1"/>
  <c r="F37" i="1"/>
  <c r="G23" i="1"/>
  <c r="F23" i="1"/>
  <c r="G9" i="1"/>
  <c r="B177" i="1"/>
  <c r="B163" i="1"/>
  <c r="B149" i="1"/>
  <c r="B135" i="1"/>
  <c r="B121" i="1"/>
  <c r="B107" i="1"/>
  <c r="B93" i="1"/>
  <c r="B79" i="1"/>
  <c r="B65" i="1"/>
  <c r="B51" i="1"/>
  <c r="B37" i="1"/>
  <c r="B23" i="1"/>
  <c r="B9" i="1"/>
  <c r="G164" i="5"/>
  <c r="H164" i="5"/>
  <c r="B10" i="2"/>
  <c r="J177" i="1"/>
  <c r="J163" i="1"/>
  <c r="J93" i="1"/>
  <c r="J51" i="1"/>
  <c r="E190" i="5"/>
  <c r="D190" i="5"/>
  <c r="C190" i="5"/>
  <c r="E176" i="5"/>
  <c r="D176" i="5"/>
  <c r="C176" i="5"/>
  <c r="G176" i="5"/>
  <c r="H176" i="5"/>
  <c r="E162" i="5"/>
  <c r="D162" i="5"/>
  <c r="C162" i="5"/>
  <c r="E148" i="5"/>
  <c r="D148" i="5"/>
  <c r="C148" i="5"/>
  <c r="E134" i="5"/>
  <c r="D134" i="5"/>
  <c r="C134" i="5"/>
  <c r="E120" i="5"/>
  <c r="D120" i="5"/>
  <c r="C120" i="5"/>
  <c r="E106" i="5"/>
  <c r="D106" i="5"/>
  <c r="C106" i="5"/>
  <c r="E92" i="5"/>
  <c r="D92" i="5"/>
  <c r="C92" i="5"/>
  <c r="E78" i="5"/>
  <c r="D78" i="5"/>
  <c r="C78" i="5"/>
  <c r="E64" i="5"/>
  <c r="D64" i="5"/>
  <c r="G64" i="5"/>
  <c r="H64" i="5"/>
  <c r="C64" i="5"/>
  <c r="E50" i="5"/>
  <c r="D50" i="5"/>
  <c r="C50" i="5"/>
  <c r="E36" i="5"/>
  <c r="D36" i="5"/>
  <c r="C36" i="5"/>
  <c r="E22" i="5"/>
  <c r="D22" i="5"/>
  <c r="C22" i="5"/>
  <c r="L63" i="1"/>
  <c r="M63" i="1"/>
  <c r="F80" i="4"/>
  <c r="F79" i="3"/>
  <c r="M79" i="1"/>
  <c r="E79" i="1"/>
  <c r="F178" i="4"/>
  <c r="F177" i="3"/>
  <c r="G31" i="2"/>
  <c r="G10" i="2"/>
  <c r="M177" i="1"/>
  <c r="E177" i="1"/>
  <c r="E92" i="4"/>
  <c r="F92" i="4"/>
  <c r="D92" i="4"/>
  <c r="C92" i="4"/>
  <c r="G92" i="4"/>
  <c r="H92" i="4"/>
  <c r="G80" i="4"/>
  <c r="H80" i="4"/>
  <c r="E91" i="3"/>
  <c r="D91" i="3"/>
  <c r="C91" i="3"/>
  <c r="G91" i="3"/>
  <c r="G79" i="3"/>
  <c r="L91" i="1"/>
  <c r="D91" i="1"/>
  <c r="C91" i="1"/>
  <c r="I79" i="1"/>
  <c r="G178" i="4"/>
  <c r="H178" i="4"/>
  <c r="G177" i="3"/>
  <c r="I177" i="1"/>
  <c r="D21" i="1"/>
  <c r="D35" i="1"/>
  <c r="E35" i="1"/>
  <c r="D49" i="1"/>
  <c r="D63" i="1"/>
  <c r="D77" i="1"/>
  <c r="E77" i="1"/>
  <c r="D105" i="1"/>
  <c r="D119" i="1"/>
  <c r="D133" i="1"/>
  <c r="D147" i="1"/>
  <c r="D161" i="1"/>
  <c r="D175" i="1"/>
  <c r="D189" i="1"/>
  <c r="C189" i="1"/>
  <c r="I189" i="1"/>
  <c r="C190" i="4"/>
  <c r="D190" i="4"/>
  <c r="C189" i="3"/>
  <c r="D189" i="3"/>
  <c r="E22" i="4"/>
  <c r="F22" i="4"/>
  <c r="E36" i="4"/>
  <c r="E50" i="4"/>
  <c r="E64" i="4"/>
  <c r="E78" i="4"/>
  <c r="E106" i="4"/>
  <c r="E120" i="4"/>
  <c r="E134" i="4"/>
  <c r="E148" i="4"/>
  <c r="E162" i="4"/>
  <c r="E176" i="4"/>
  <c r="E190" i="4"/>
  <c r="D22" i="4"/>
  <c r="D36" i="4"/>
  <c r="D50" i="4"/>
  <c r="D64" i="4"/>
  <c r="D78" i="4"/>
  <c r="D106" i="4"/>
  <c r="D120" i="4"/>
  <c r="D134" i="4"/>
  <c r="D148" i="4"/>
  <c r="D162" i="4"/>
  <c r="D176" i="4"/>
  <c r="F176" i="4"/>
  <c r="C22" i="4"/>
  <c r="G22" i="4"/>
  <c r="H22" i="4"/>
  <c r="C36" i="4"/>
  <c r="C50" i="4"/>
  <c r="C64" i="4"/>
  <c r="C78" i="4"/>
  <c r="C106" i="4"/>
  <c r="C120" i="4"/>
  <c r="C134" i="4"/>
  <c r="C148" i="4"/>
  <c r="C162" i="4"/>
  <c r="C176" i="4"/>
  <c r="F136" i="4"/>
  <c r="E21" i="3"/>
  <c r="E35" i="3"/>
  <c r="E49" i="3"/>
  <c r="E63" i="3"/>
  <c r="E77" i="3"/>
  <c r="E105" i="3"/>
  <c r="E119" i="3"/>
  <c r="E133" i="3"/>
  <c r="E147" i="3"/>
  <c r="F147" i="3"/>
  <c r="E161" i="3"/>
  <c r="E175" i="3"/>
  <c r="E189" i="3"/>
  <c r="D21" i="3"/>
  <c r="D35" i="3"/>
  <c r="D49" i="3"/>
  <c r="G49" i="3"/>
  <c r="D63" i="3"/>
  <c r="D77" i="3"/>
  <c r="F77" i="3"/>
  <c r="D105" i="3"/>
  <c r="D119" i="3"/>
  <c r="G119" i="3"/>
  <c r="D133" i="3"/>
  <c r="D147" i="3"/>
  <c r="D161" i="3"/>
  <c r="F161" i="3"/>
  <c r="D175" i="3"/>
  <c r="F175" i="3"/>
  <c r="C21" i="3"/>
  <c r="C35" i="3"/>
  <c r="G35" i="3"/>
  <c r="C49" i="3"/>
  <c r="C63" i="3"/>
  <c r="C77" i="3"/>
  <c r="C105" i="3"/>
  <c r="C119" i="3"/>
  <c r="C133" i="3"/>
  <c r="C147" i="3"/>
  <c r="C161" i="3"/>
  <c r="C175" i="3"/>
  <c r="F135" i="3"/>
  <c r="M135" i="1"/>
  <c r="E135" i="1"/>
  <c r="L21" i="1"/>
  <c r="L35" i="1"/>
  <c r="M35" i="1"/>
  <c r="L49" i="1"/>
  <c r="L77" i="1"/>
  <c r="M77" i="1"/>
  <c r="L105" i="1"/>
  <c r="L119" i="1"/>
  <c r="L133" i="1"/>
  <c r="M133" i="1"/>
  <c r="L147" i="1"/>
  <c r="L161" i="1"/>
  <c r="L175" i="1"/>
  <c r="K21" i="1"/>
  <c r="K35" i="1"/>
  <c r="I35" i="1"/>
  <c r="C21" i="1"/>
  <c r="I21" i="1"/>
  <c r="C35" i="1"/>
  <c r="C49" i="1"/>
  <c r="C63" i="1"/>
  <c r="I63" i="1"/>
  <c r="C77" i="1"/>
  <c r="C105" i="1"/>
  <c r="C119" i="1"/>
  <c r="C133" i="1"/>
  <c r="C147" i="1"/>
  <c r="C161" i="1"/>
  <c r="E161" i="1"/>
  <c r="C175" i="1"/>
  <c r="I175" i="1"/>
  <c r="E149" i="1"/>
  <c r="I149" i="1"/>
  <c r="M149" i="1"/>
  <c r="K147" i="1"/>
  <c r="J147" i="1"/>
  <c r="M147" i="1"/>
  <c r="F164" i="4"/>
  <c r="K31" i="2"/>
  <c r="K10" i="2"/>
  <c r="K63" i="1"/>
  <c r="K77" i="1"/>
  <c r="K105" i="1"/>
  <c r="M105" i="1"/>
  <c r="K119" i="1"/>
  <c r="K133" i="1"/>
  <c r="K175" i="1"/>
  <c r="I135" i="1"/>
  <c r="G136" i="4"/>
  <c r="H136" i="4"/>
  <c r="G135" i="3"/>
  <c r="F108" i="4"/>
  <c r="F107" i="3"/>
  <c r="N31" i="2"/>
  <c r="M31" i="2"/>
  <c r="L31" i="2"/>
  <c r="J31" i="2"/>
  <c r="I31" i="2"/>
  <c r="H31" i="2"/>
  <c r="F31" i="2"/>
  <c r="E31" i="2"/>
  <c r="C31" i="2"/>
  <c r="B31" i="2"/>
  <c r="M107" i="1"/>
  <c r="E107" i="1"/>
  <c r="I10" i="2"/>
  <c r="G108" i="4"/>
  <c r="H108" i="4"/>
  <c r="G122" i="4"/>
  <c r="H122" i="4"/>
  <c r="F122" i="4"/>
  <c r="G107" i="3"/>
  <c r="I107" i="1"/>
  <c r="F10" i="4"/>
  <c r="G10" i="4"/>
  <c r="H10" i="4"/>
  <c r="I9" i="1"/>
  <c r="I23" i="1"/>
  <c r="I51" i="1"/>
  <c r="I65" i="1"/>
  <c r="I93" i="1"/>
  <c r="I121" i="1"/>
  <c r="I163" i="1"/>
  <c r="E9" i="1"/>
  <c r="M9" i="1"/>
  <c r="E23" i="1"/>
  <c r="M23" i="1"/>
  <c r="E37" i="1"/>
  <c r="E51" i="1"/>
  <c r="M51" i="1"/>
  <c r="E65" i="1"/>
  <c r="M65" i="1"/>
  <c r="E93" i="1"/>
  <c r="M93" i="1"/>
  <c r="E121" i="1"/>
  <c r="M121" i="1"/>
  <c r="E163" i="1"/>
  <c r="M163" i="1"/>
  <c r="F24" i="4"/>
  <c r="G24" i="4"/>
  <c r="H24" i="4"/>
  <c r="F38" i="4"/>
  <c r="G38" i="4"/>
  <c r="H38" i="4"/>
  <c r="F52" i="4"/>
  <c r="G52" i="4"/>
  <c r="H52" i="4"/>
  <c r="F66" i="4"/>
  <c r="G66" i="4"/>
  <c r="H66" i="4"/>
  <c r="F94" i="4"/>
  <c r="G94" i="4"/>
  <c r="H94" i="4"/>
  <c r="F150" i="4"/>
  <c r="G150" i="4"/>
  <c r="H150" i="4"/>
  <c r="G164" i="4"/>
  <c r="H164" i="4"/>
  <c r="F9" i="3"/>
  <c r="F23" i="3"/>
  <c r="G23" i="3"/>
  <c r="F37" i="3"/>
  <c r="G37" i="3"/>
  <c r="F51" i="3"/>
  <c r="G51" i="3"/>
  <c r="F65" i="3"/>
  <c r="G65" i="3"/>
  <c r="F93" i="3"/>
  <c r="G93" i="3"/>
  <c r="F121" i="3"/>
  <c r="G121" i="3"/>
  <c r="F149" i="3"/>
  <c r="G149" i="3"/>
  <c r="F163" i="3"/>
  <c r="G163" i="3"/>
  <c r="G9" i="3"/>
  <c r="C10" i="2"/>
  <c r="D10" i="2"/>
  <c r="E10" i="2"/>
  <c r="F10" i="2"/>
  <c r="H10" i="2"/>
  <c r="J10" i="2"/>
  <c r="L10" i="2"/>
  <c r="M10" i="2"/>
  <c r="N10" i="2"/>
  <c r="I37" i="1"/>
  <c r="M37" i="1"/>
  <c r="K49" i="1"/>
  <c r="M49" i="1"/>
  <c r="D31" i="2"/>
  <c r="L189" i="1"/>
  <c r="M189" i="1"/>
  <c r="K189" i="1"/>
  <c r="K91" i="1"/>
  <c r="I91" i="1"/>
  <c r="K161" i="1"/>
  <c r="M161" i="1"/>
  <c r="J79" i="1"/>
  <c r="J23" i="1"/>
  <c r="H51" i="1"/>
  <c r="H93" i="1"/>
  <c r="H149" i="1"/>
  <c r="H65" i="1"/>
  <c r="J65" i="1"/>
  <c r="H23" i="1"/>
  <c r="H121" i="1"/>
  <c r="J9" i="1"/>
  <c r="H107" i="1"/>
  <c r="H79" i="1"/>
  <c r="H37" i="1"/>
  <c r="J37" i="1"/>
  <c r="H177" i="1"/>
  <c r="H163" i="1"/>
  <c r="J107" i="1"/>
  <c r="H135" i="1"/>
  <c r="J80" i="1"/>
  <c r="H95" i="1"/>
  <c r="H25" i="1"/>
  <c r="J26" i="1"/>
  <c r="J12" i="1"/>
  <c r="J55" i="1"/>
  <c r="H108" i="1"/>
  <c r="J108" i="1"/>
  <c r="H140" i="1"/>
  <c r="J100" i="1"/>
  <c r="F105" i="1"/>
  <c r="F64" i="4"/>
  <c r="F162" i="4"/>
  <c r="G148" i="4"/>
  <c r="H148" i="4"/>
  <c r="F176" i="5"/>
  <c r="F133" i="3"/>
  <c r="G133" i="3"/>
  <c r="M193" i="1"/>
  <c r="J189" i="1"/>
  <c r="J171" i="1"/>
  <c r="I147" i="1"/>
  <c r="H147" i="1"/>
  <c r="H80" i="1"/>
  <c r="E91" i="1"/>
  <c r="E63" i="1"/>
  <c r="J31" i="1"/>
  <c r="H31" i="1"/>
  <c r="M21" i="1"/>
  <c r="E21" i="1"/>
  <c r="J193" i="1"/>
  <c r="F190" i="4"/>
  <c r="G190" i="4"/>
  <c r="H190" i="4"/>
  <c r="G176" i="4"/>
  <c r="H176" i="4"/>
  <c r="G162" i="4"/>
  <c r="H162" i="4"/>
  <c r="F148" i="4"/>
  <c r="F134" i="4"/>
  <c r="G134" i="4"/>
  <c r="H134" i="4"/>
  <c r="F120" i="4"/>
  <c r="G120" i="4"/>
  <c r="H120" i="4"/>
  <c r="F106" i="4"/>
  <c r="G106" i="4"/>
  <c r="H106" i="4"/>
  <c r="D192" i="4"/>
  <c r="F78" i="4"/>
  <c r="G78" i="4"/>
  <c r="H78" i="4"/>
  <c r="E192" i="4"/>
  <c r="G64" i="4"/>
  <c r="H64" i="4"/>
  <c r="C192" i="4"/>
  <c r="F50" i="4"/>
  <c r="G50" i="4"/>
  <c r="H50" i="4"/>
  <c r="F36" i="4"/>
  <c r="G36" i="4"/>
  <c r="H36" i="4"/>
  <c r="F22" i="5"/>
  <c r="G22" i="5"/>
  <c r="H22" i="5"/>
  <c r="C192" i="5"/>
  <c r="E192" i="5"/>
  <c r="D192" i="5"/>
  <c r="G193" i="3"/>
  <c r="F189" i="3"/>
  <c r="G189" i="3"/>
  <c r="G175" i="3"/>
  <c r="G161" i="3"/>
  <c r="G147" i="3"/>
  <c r="F119" i="3"/>
  <c r="F105" i="3"/>
  <c r="G105" i="3"/>
  <c r="F91" i="3"/>
  <c r="G77" i="3"/>
  <c r="E191" i="3"/>
  <c r="F63" i="3"/>
  <c r="G63" i="3"/>
  <c r="F49" i="3"/>
  <c r="F35" i="3"/>
  <c r="D191" i="3"/>
  <c r="G21" i="3"/>
  <c r="F21" i="3"/>
  <c r="C191" i="3"/>
  <c r="O41" i="2"/>
  <c r="O20" i="2"/>
  <c r="I105" i="1"/>
  <c r="J114" i="1"/>
  <c r="F119" i="1"/>
  <c r="H119" i="1"/>
  <c r="H170" i="1"/>
  <c r="F175" i="1"/>
  <c r="H175" i="1"/>
  <c r="E175" i="1"/>
  <c r="I193" i="1"/>
  <c r="D191" i="1"/>
  <c r="E189" i="1"/>
  <c r="M175" i="1"/>
  <c r="J161" i="1"/>
  <c r="H161" i="1"/>
  <c r="I161" i="1"/>
  <c r="E147" i="1"/>
  <c r="I133" i="1"/>
  <c r="E133" i="1"/>
  <c r="M119" i="1"/>
  <c r="I119" i="1"/>
  <c r="E119" i="1"/>
  <c r="H105" i="1"/>
  <c r="J105" i="1"/>
  <c r="E105" i="1"/>
  <c r="M91" i="1"/>
  <c r="J91" i="1"/>
  <c r="K191" i="1"/>
  <c r="I77" i="1"/>
  <c r="J77" i="1"/>
  <c r="H77" i="1"/>
  <c r="J63" i="1"/>
  <c r="H63" i="1"/>
  <c r="I49" i="1"/>
  <c r="H49" i="1"/>
  <c r="C191" i="1"/>
  <c r="E49" i="1"/>
  <c r="L191" i="1"/>
  <c r="J35" i="1"/>
  <c r="H35" i="1"/>
  <c r="G191" i="1"/>
  <c r="H21" i="1"/>
  <c r="L23" i="2"/>
  <c r="B44" i="2"/>
  <c r="M44" i="2"/>
  <c r="K23" i="2"/>
  <c r="O11" i="2"/>
  <c r="M23" i="2"/>
  <c r="H44" i="2"/>
  <c r="O12" i="2"/>
  <c r="I44" i="2"/>
  <c r="D23" i="2"/>
  <c r="O34" i="2"/>
  <c r="O35" i="2"/>
  <c r="L44" i="2"/>
  <c r="O36" i="2"/>
  <c r="O16" i="2"/>
  <c r="O37" i="2"/>
  <c r="O17" i="2"/>
  <c r="O38" i="2"/>
  <c r="I23" i="2"/>
  <c r="O39" i="2"/>
  <c r="O19" i="2"/>
  <c r="O40" i="2"/>
  <c r="K44" i="2"/>
  <c r="O15" i="2"/>
  <c r="O32" i="2"/>
  <c r="O10" i="2"/>
  <c r="N44" i="2"/>
  <c r="N23" i="2"/>
  <c r="G23" i="2"/>
  <c r="O33" i="2"/>
  <c r="J44" i="2"/>
  <c r="C23" i="2"/>
  <c r="E44" i="2"/>
  <c r="H23" i="2"/>
  <c r="O18" i="2"/>
  <c r="O14" i="2"/>
  <c r="F23" i="2"/>
  <c r="O13" i="2"/>
  <c r="C44" i="2"/>
  <c r="F44" i="2"/>
  <c r="J23" i="2"/>
  <c r="G44" i="2"/>
  <c r="B23" i="2"/>
  <c r="D44" i="2"/>
  <c r="O31" i="2"/>
  <c r="E23" i="2"/>
  <c r="G192" i="4"/>
  <c r="H192" i="4"/>
  <c r="F192" i="4"/>
  <c r="F192" i="5"/>
  <c r="G192" i="5"/>
  <c r="H192" i="5"/>
  <c r="F191" i="3"/>
  <c r="G191" i="3"/>
  <c r="J119" i="1"/>
  <c r="J175" i="1"/>
  <c r="F191" i="1"/>
  <c r="J191" i="1"/>
  <c r="M191" i="1"/>
  <c r="I191" i="1"/>
  <c r="E191" i="1"/>
  <c r="O44" i="2"/>
  <c r="O23" i="2"/>
  <c r="H191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<sst xmlns="http://schemas.openxmlformats.org/spreadsheetml/2006/main" count="241" uniqueCount="79">
  <si>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</si>
  <si>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</si>
  <si>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</si>
  <si>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</si>
  <si>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</si>
  <si>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</si>
  <si>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</si>
  <si>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</si>
  <si>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</si>
  <si>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</si>
  <si>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</si>
  <si>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</si>
  <si>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</si>
  <si>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</si>
  <si>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</si>
  <si>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</si>
  <si>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</si>
  <si>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</si>
  <si>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</si>
  <si>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</si>
  <si>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</si>
  <si>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</si>
  <si>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</si>
  <si>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</si>
  <si>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</si>
  <si>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</si>
  <si>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</si>
  <si>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</si>
  <si>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</si>
  <si>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</si>
  <si>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</si>
  <si>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</si>
  <si>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</si>
  <si>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</si>
  <si>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</si>
  <si>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</si>
  <si>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</si>
  <si>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</si>
  <si>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</si>
  <si>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</si>
  <si>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</si>
  <si>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</si>
  <si>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</si>
  <si>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</si>
  <si>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</si>
  <si>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</si>
  <si>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</si>
  <si>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</si>
  <si>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</si>
  <si>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</si>
  <si>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</si>
  <si>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</si>
  <si>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</si>
  <si>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</si>
  <si>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</si>
  <si>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</si>
  <si>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</si>
  <si>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</si>
  <si>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</si>
  <si>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</si>
  <si>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</si>
  <si>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</si>
  <si>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</si>
  <si>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</si>
  <si>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</si>
  <si>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</si>
  <si>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</si>
  <si>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</si>
  <si>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</si>
  <si>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</si>
  <si>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</si>
  <si>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2023 YTD ADMISSIONS, PATRONS AND AGR SUMMARY </t>
  </si>
  <si>
    <t>MONTH ENDED:  MAY 31, 2023</t>
  </si>
  <si>
    <t>(as reported on the tax remittal database dtd 6/8/23)</t>
  </si>
  <si>
    <t>FOR THE MONTH ENDED:   MAY 31, 2023</t>
  </si>
  <si>
    <t>THRU MONTH ENDED:   MAY 31, 2023</t>
  </si>
  <si>
    <t>(as reported on the tax remittal database as of 6/8/23)</t>
  </si>
  <si>
    <t>THRU MONTH ENDED:    MAY 31, 2023</t>
  </si>
  <si>
    <t>THRU MONTH ENDED:     MAY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</si>
</sst>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2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3" fontId="0" fillId="0" borderId="5" xfId="1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65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72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73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DATE(2022,7,1)</f>
        <v>44743</v>
      </c>
      <c r="C9" s="21">
        <v>217943</v>
      </c>
      <c r="D9" s="22">
        <v>232803</v>
      </c>
      <c r="E9" s="23">
        <f t="shared" ref="E9:E19" si="0">(+C9-D9)/D9</f>
        <v>-6.3830792558515134E-2</v>
      </c>
      <c r="F9" s="21">
        <f>+C9-101378</f>
        <v>116565</v>
      </c>
      <c r="G9" s="21">
        <f>+D9-107437</f>
        <v>125366</v>
      </c>
      <c r="H9" s="23">
        <f t="shared" ref="H9:H19" si="1">(+F9-G9)/G9</f>
        <v>-7.0202447234497395E-2</v>
      </c>
      <c r="I9" s="24">
        <f t="shared" ref="I9:I19" si="2">K9/C9</f>
        <v>73.392930261582165</v>
      </c>
      <c r="J9" s="24">
        <f t="shared" ref="J9:J19" si="3">K9/F9</f>
        <v>137.22365547119634</v>
      </c>
      <c r="K9" s="21">
        <v>15995475.4</v>
      </c>
      <c r="L9" s="21">
        <v>15939478.609999999</v>
      </c>
      <c r="M9" s="25">
        <f t="shared" ref="M9:M19" si="4">(+K9-L9)/L9</f>
        <v>3.5130879353149035E-3</v>
      </c>
      <c r="N9" s="10"/>
      <c r="R9" s="2"/>
    </row>
    <row r="10" spans="1:18" ht="15.75" x14ac:dyDescent="0.25">
      <c r="A10" s="19"/>
      <c r="B10" s="20">
        <f>DATE(2022,8,1)</f>
        <v>44774</v>
      </c>
      <c r="C10" s="21">
        <v>199444</v>
      </c>
      <c r="D10" s="22">
        <v>224849</v>
      </c>
      <c r="E10" s="23">
        <f t="shared" si="0"/>
        <v>-0.11298693790054659</v>
      </c>
      <c r="F10" s="21">
        <f>+C10-93160</f>
        <v>106284</v>
      </c>
      <c r="G10" s="21">
        <f>+D10-102898</f>
        <v>121951</v>
      </c>
      <c r="H10" s="23">
        <f t="shared" si="1"/>
        <v>-0.12846963124533625</v>
      </c>
      <c r="I10" s="24">
        <f t="shared" si="2"/>
        <v>76.132840245883557</v>
      </c>
      <c r="J10" s="24">
        <f t="shared" si="3"/>
        <v>142.86476035903803</v>
      </c>
      <c r="K10" s="21">
        <v>15184238.189999999</v>
      </c>
      <c r="L10" s="21">
        <v>15076597.119999999</v>
      </c>
      <c r="M10" s="25">
        <f t="shared" si="4"/>
        <v>7.1396130800104778E-3</v>
      </c>
      <c r="N10" s="10"/>
      <c r="R10" s="2"/>
    </row>
    <row r="11" spans="1:18" ht="15.75" x14ac:dyDescent="0.25">
      <c r="A11" s="19"/>
      <c r="B11" s="20">
        <f>DATE(2022,9,1)</f>
        <v>44805</v>
      </c>
      <c r="C11" s="21">
        <v>190853</v>
      </c>
      <c r="D11" s="22">
        <v>206050</v>
      </c>
      <c r="E11" s="23">
        <f t="shared" si="0"/>
        <v>-7.375394321766561E-2</v>
      </c>
      <c r="F11" s="21">
        <f>+C11-90801</f>
        <v>100052</v>
      </c>
      <c r="G11" s="21">
        <f>+D11-93968</f>
        <v>112082</v>
      </c>
      <c r="H11" s="23">
        <f t="shared" si="1"/>
        <v>-0.10733213183205154</v>
      </c>
      <c r="I11" s="24">
        <f t="shared" si="2"/>
        <v>72.70080192608971</v>
      </c>
      <c r="J11" s="24">
        <f t="shared" si="3"/>
        <v>138.67954813496982</v>
      </c>
      <c r="K11" s="21">
        <v>13875166.15</v>
      </c>
      <c r="L11" s="21">
        <v>13876432.720000001</v>
      </c>
      <c r="M11" s="25">
        <f t="shared" si="4"/>
        <v>-9.1274899360467481E-5</v>
      </c>
      <c r="N11" s="10"/>
      <c r="R11" s="2"/>
    </row>
    <row r="12" spans="1:18" ht="15.75" x14ac:dyDescent="0.25">
      <c r="A12" s="19"/>
      <c r="B12" s="20">
        <f>DATE(2022,10,1)</f>
        <v>44835</v>
      </c>
      <c r="C12" s="21">
        <v>191998</v>
      </c>
      <c r="D12" s="22">
        <v>219538</v>
      </c>
      <c r="E12" s="23">
        <f t="shared" si="0"/>
        <v>-0.12544525321356667</v>
      </c>
      <c r="F12" s="21">
        <f>+C12-90818</f>
        <v>101180</v>
      </c>
      <c r="G12" s="21">
        <f>+D12-100658</f>
        <v>118880</v>
      </c>
      <c r="H12" s="23">
        <f t="shared" si="1"/>
        <v>-0.14888963660834456</v>
      </c>
      <c r="I12" s="24">
        <f t="shared" si="2"/>
        <v>76.281169699684369</v>
      </c>
      <c r="J12" s="24">
        <f t="shared" si="3"/>
        <v>144.75026704882387</v>
      </c>
      <c r="K12" s="21">
        <v>14645832.02</v>
      </c>
      <c r="L12" s="21">
        <v>15248970.91</v>
      </c>
      <c r="M12" s="25">
        <f t="shared" si="4"/>
        <v>-3.9552760219673119E-2</v>
      </c>
      <c r="N12" s="10"/>
      <c r="R12" s="2"/>
    </row>
    <row r="13" spans="1:18" ht="15.75" x14ac:dyDescent="0.25">
      <c r="A13" s="19"/>
      <c r="B13" s="20">
        <f>DATE(2022,11,1)</f>
        <v>44866</v>
      </c>
      <c r="C13" s="21">
        <v>181329</v>
      </c>
      <c r="D13" s="22">
        <v>201331</v>
      </c>
      <c r="E13" s="23">
        <f t="shared" si="0"/>
        <v>-9.9348833512971177E-2</v>
      </c>
      <c r="F13" s="21">
        <f>+C13-85776</f>
        <v>95553</v>
      </c>
      <c r="G13" s="21">
        <f>+D13-92874</f>
        <v>108457</v>
      </c>
      <c r="H13" s="23">
        <f t="shared" si="1"/>
        <v>-0.11897802815862507</v>
      </c>
      <c r="I13" s="24">
        <f t="shared" si="2"/>
        <v>74.713624902800987</v>
      </c>
      <c r="J13" s="24">
        <f t="shared" si="3"/>
        <v>141.78253838184045</v>
      </c>
      <c r="K13" s="21">
        <v>13547746.890000001</v>
      </c>
      <c r="L13" s="21">
        <v>13533758.140000001</v>
      </c>
      <c r="M13" s="25">
        <f t="shared" si="4"/>
        <v>1.0336190328874902E-3</v>
      </c>
      <c r="N13" s="10"/>
      <c r="R13" s="2"/>
    </row>
    <row r="14" spans="1:18" ht="15.75" x14ac:dyDescent="0.25">
      <c r="A14" s="19"/>
      <c r="B14" s="20">
        <f>DATE(2022,12,1)</f>
        <v>44896</v>
      </c>
      <c r="C14" s="21">
        <v>198171</v>
      </c>
      <c r="D14" s="22">
        <v>212681</v>
      </c>
      <c r="E14" s="23">
        <f t="shared" si="0"/>
        <v>-6.8224241939806571E-2</v>
      </c>
      <c r="F14" s="21">
        <f>+C14-94881</f>
        <v>103290</v>
      </c>
      <c r="G14" s="21">
        <f>+D14-99427</f>
        <v>113254</v>
      </c>
      <c r="H14" s="23">
        <f t="shared" si="1"/>
        <v>-8.7979232521588638E-2</v>
      </c>
      <c r="I14" s="24">
        <f t="shared" si="2"/>
        <v>66.705576093373907</v>
      </c>
      <c r="J14" s="24">
        <f t="shared" si="3"/>
        <v>127.98054719721173</v>
      </c>
      <c r="K14" s="21">
        <v>13219110.720000001</v>
      </c>
      <c r="L14" s="21">
        <v>14610455.699999999</v>
      </c>
      <c r="M14" s="25">
        <f t="shared" si="4"/>
        <v>-9.5229403419634526E-2</v>
      </c>
      <c r="N14" s="10"/>
      <c r="R14" s="2"/>
    </row>
    <row r="15" spans="1:18" ht="15.75" x14ac:dyDescent="0.25">
      <c r="A15" s="19"/>
      <c r="B15" s="20">
        <f>DATE(2023,1,1)</f>
        <v>44927</v>
      </c>
      <c r="C15" s="21">
        <v>197003</v>
      </c>
      <c r="D15" s="22">
        <v>183563</v>
      </c>
      <c r="E15" s="23">
        <f t="shared" si="0"/>
        <v>7.321736951346404E-2</v>
      </c>
      <c r="F15" s="21">
        <f>+C15-95273</f>
        <v>101730</v>
      </c>
      <c r="G15" s="21">
        <f>+D15-87679</f>
        <v>95884</v>
      </c>
      <c r="H15" s="23">
        <f t="shared" si="1"/>
        <v>6.096950481832214E-2</v>
      </c>
      <c r="I15" s="24">
        <f t="shared" si="2"/>
        <v>73.527135830418828</v>
      </c>
      <c r="J15" s="24">
        <f t="shared" si="3"/>
        <v>142.38736203676399</v>
      </c>
      <c r="K15" s="21">
        <v>14485066.34</v>
      </c>
      <c r="L15" s="21">
        <v>12724384.039999999</v>
      </c>
      <c r="M15" s="25">
        <f t="shared" si="4"/>
        <v>0.13837072933865968</v>
      </c>
      <c r="N15" s="10"/>
      <c r="R15" s="2"/>
    </row>
    <row r="16" spans="1:18" ht="15.75" x14ac:dyDescent="0.25">
      <c r="A16" s="19"/>
      <c r="B16" s="20">
        <f>DATE(2023,2,1)</f>
        <v>44958</v>
      </c>
      <c r="C16" s="21">
        <v>191288</v>
      </c>
      <c r="D16" s="22">
        <v>198133</v>
      </c>
      <c r="E16" s="23">
        <f t="shared" si="0"/>
        <v>-3.4547500921098456E-2</v>
      </c>
      <c r="F16" s="21">
        <f>+C16-92919</f>
        <v>98369</v>
      </c>
      <c r="G16" s="21">
        <f>+D16-96112</f>
        <v>102021</v>
      </c>
      <c r="H16" s="23">
        <f t="shared" si="1"/>
        <v>-3.5796551690338262E-2</v>
      </c>
      <c r="I16" s="24">
        <f t="shared" si="2"/>
        <v>72.948813935008999</v>
      </c>
      <c r="J16" s="24">
        <f t="shared" si="3"/>
        <v>141.85599853612419</v>
      </c>
      <c r="K16" s="21">
        <v>13954232.720000001</v>
      </c>
      <c r="L16" s="21">
        <v>13962827.57</v>
      </c>
      <c r="M16" s="25">
        <f t="shared" si="4"/>
        <v>-6.1555225522273119E-4</v>
      </c>
      <c r="N16" s="10"/>
      <c r="R16" s="2"/>
    </row>
    <row r="17" spans="1:18" ht="15.75" x14ac:dyDescent="0.25">
      <c r="A17" s="19"/>
      <c r="B17" s="20">
        <f>DATE(2023,3,1)</f>
        <v>44986</v>
      </c>
      <c r="C17" s="21">
        <v>217797</v>
      </c>
      <c r="D17" s="22">
        <v>229277</v>
      </c>
      <c r="E17" s="23">
        <f t="shared" si="0"/>
        <v>-5.0070438814185464E-2</v>
      </c>
      <c r="F17" s="21">
        <f>+C17-105615</f>
        <v>112182</v>
      </c>
      <c r="G17" s="21">
        <f>+D17-111679</f>
        <v>117598</v>
      </c>
      <c r="H17" s="23">
        <f t="shared" si="1"/>
        <v>-4.6055205020493546E-2</v>
      </c>
      <c r="I17" s="24">
        <f t="shared" si="2"/>
        <v>71.998188818027799</v>
      </c>
      <c r="J17" s="24">
        <f t="shared" si="3"/>
        <v>139.78168984329037</v>
      </c>
      <c r="K17" s="21">
        <v>15680989.529999999</v>
      </c>
      <c r="L17" s="21">
        <v>15824267.74</v>
      </c>
      <c r="M17" s="25">
        <f t="shared" si="4"/>
        <v>-9.0543342892150085E-3</v>
      </c>
      <c r="N17" s="10"/>
      <c r="R17" s="2"/>
    </row>
    <row r="18" spans="1:18" ht="15.75" x14ac:dyDescent="0.25">
      <c r="A18" s="19"/>
      <c r="B18" s="20">
        <f>DATE(2023,4,1)</f>
        <v>45017</v>
      </c>
      <c r="C18" s="21">
        <v>198066</v>
      </c>
      <c r="D18" s="22">
        <v>223384</v>
      </c>
      <c r="E18" s="23">
        <f t="shared" si="0"/>
        <v>-0.11333846649715289</v>
      </c>
      <c r="F18" s="21">
        <f>+C18-94196</f>
        <v>103870</v>
      </c>
      <c r="G18" s="21">
        <f>+D18-106932</f>
        <v>116452</v>
      </c>
      <c r="H18" s="23">
        <f t="shared" si="1"/>
        <v>-0.10804451619551403</v>
      </c>
      <c r="I18" s="24">
        <f t="shared" si="2"/>
        <v>74.83226232669918</v>
      </c>
      <c r="J18" s="24">
        <f t="shared" si="3"/>
        <v>142.69497323577548</v>
      </c>
      <c r="K18" s="21">
        <v>14821726.869999999</v>
      </c>
      <c r="L18" s="21">
        <v>15759269.199999999</v>
      </c>
      <c r="M18" s="25">
        <f t="shared" si="4"/>
        <v>-5.9491485176228862E-2</v>
      </c>
      <c r="N18" s="10"/>
      <c r="R18" s="2"/>
    </row>
    <row r="19" spans="1:18" ht="15.75" x14ac:dyDescent="0.25">
      <c r="A19" s="19"/>
      <c r="B19" s="20">
        <f>DATE(2023,5,1)</f>
        <v>45047</v>
      </c>
      <c r="C19" s="21">
        <v>189140</v>
      </c>
      <c r="D19" s="22">
        <v>216589</v>
      </c>
      <c r="E19" s="23">
        <f t="shared" si="0"/>
        <v>-0.12673312125731223</v>
      </c>
      <c r="F19" s="21">
        <f>+C19-89554</f>
        <v>99586</v>
      </c>
      <c r="G19" s="21">
        <f>+D19-102739</f>
        <v>113850</v>
      </c>
      <c r="H19" s="23">
        <f t="shared" si="1"/>
        <v>-0.12528765920070267</v>
      </c>
      <c r="I19" s="24">
        <f t="shared" si="2"/>
        <v>75.840556201755319</v>
      </c>
      <c r="J19" s="24">
        <f t="shared" si="3"/>
        <v>144.04115839575846</v>
      </c>
      <c r="K19" s="21">
        <v>14344482.800000001</v>
      </c>
      <c r="L19" s="21">
        <v>15517430.6</v>
      </c>
      <c r="M19" s="25">
        <f t="shared" si="4"/>
        <v>-7.5589047583689464E-2</v>
      </c>
      <c r="N19" s="10"/>
      <c r="R19" s="2"/>
    </row>
    <row r="20" spans="1:18" ht="15.75" customHeight="1" thickBot="1" x14ac:dyDescent="0.3">
      <c r="A20" s="19"/>
      <c r="B20" s="20"/>
      <c r="C20" s="21"/>
      <c r="D20" s="21"/>
      <c r="E20" s="23"/>
      <c r="F20" s="21"/>
      <c r="G20" s="21"/>
      <c r="H20" s="23"/>
      <c r="I20" s="24"/>
      <c r="J20" s="24"/>
      <c r="K20" s="21"/>
      <c r="L20" s="21"/>
      <c r="M20" s="25"/>
      <c r="N20" s="10"/>
      <c r="R20" s="2"/>
    </row>
    <row r="21" spans="1:18" ht="17.25" thickTop="1" thickBot="1" x14ac:dyDescent="0.3">
      <c r="A21" s="26" t="s">
        <v>14</v>
      </c>
      <c r="B21" s="27"/>
      <c r="C21" s="28">
        <f>SUM(C9:C20)</f>
        <v>2173032</v>
      </c>
      <c r="D21" s="28">
        <f>SUM(D9:D20)</f>
        <v>2348198</v>
      </c>
      <c r="E21" s="279">
        <f>(+C21-D21)/D21</f>
        <v>-7.4595924193786037E-2</v>
      </c>
      <c r="F21" s="28">
        <f>SUM(F9:F20)</f>
        <v>1138661</v>
      </c>
      <c r="G21" s="28">
        <f>SUM(G9:G20)</f>
        <v>1245795</v>
      </c>
      <c r="H21" s="30">
        <f>(+F21-G21)/G21</f>
        <v>-8.5996492199759994E-2</v>
      </c>
      <c r="I21" s="31">
        <f>K21/C21</f>
        <v>73.516665944173866</v>
      </c>
      <c r="J21" s="31">
        <f>K21/F21</f>
        <v>140.29993793587383</v>
      </c>
      <c r="K21" s="28">
        <f>SUM(K9:K20)</f>
        <v>159754067.63000003</v>
      </c>
      <c r="L21" s="28">
        <f>SUM(L9:L20)</f>
        <v>162073872.34999999</v>
      </c>
      <c r="M21" s="32">
        <f>(+K21-L21)/L21</f>
        <v>-1.4313255346860163E-2</v>
      </c>
      <c r="N21" s="10"/>
      <c r="R21" s="2"/>
    </row>
    <row r="22" spans="1:18" ht="15.75" customHeight="1" thickTop="1" x14ac:dyDescent="0.25">
      <c r="A22" s="15"/>
      <c r="B22" s="16"/>
      <c r="C22" s="16"/>
      <c r="D22" s="16"/>
      <c r="E22" s="17"/>
      <c r="F22" s="16"/>
      <c r="G22" s="16"/>
      <c r="H22" s="17"/>
      <c r="I22" s="16"/>
      <c r="J22" s="16"/>
      <c r="K22" s="195"/>
      <c r="L22" s="195"/>
      <c r="M22" s="18"/>
      <c r="N22" s="10"/>
      <c r="R22" s="2"/>
    </row>
    <row r="23" spans="1:18" ht="15.75" x14ac:dyDescent="0.25">
      <c r="A23" s="19" t="s">
        <v>15</v>
      </c>
      <c r="B23" s="20">
        <f>DATE(2022,7,1)</f>
        <v>44743</v>
      </c>
      <c r="C23" s="21">
        <v>114715</v>
      </c>
      <c r="D23" s="21">
        <v>116107</v>
      </c>
      <c r="E23" s="23">
        <f t="shared" ref="E23:E33" si="5">(+C23-D23)/D23</f>
        <v>-1.1988941235239909E-2</v>
      </c>
      <c r="F23" s="21">
        <f>+C23-55568</f>
        <v>59147</v>
      </c>
      <c r="G23" s="21">
        <f>+D23-56210</f>
        <v>59897</v>
      </c>
      <c r="H23" s="23">
        <f t="shared" ref="H23:H33" si="6">(+F23-G23)/G23</f>
        <v>-1.2521495233484147E-2</v>
      </c>
      <c r="I23" s="24">
        <f t="shared" ref="I23:I33" si="7">K23/C23</f>
        <v>73.187937148585632</v>
      </c>
      <c r="J23" s="24">
        <f t="shared" ref="J23:J33" si="8">K23/F23</f>
        <v>141.94725362233081</v>
      </c>
      <c r="K23" s="21">
        <v>8395754.2100000009</v>
      </c>
      <c r="L23" s="21">
        <v>8058935.6500000004</v>
      </c>
      <c r="M23" s="25">
        <f t="shared" ref="M23:M33" si="9">(+K23-L23)/L23</f>
        <v>4.1794422319279906E-2</v>
      </c>
      <c r="N23" s="10"/>
      <c r="R23" s="2"/>
    </row>
    <row r="24" spans="1:18" ht="15.75" x14ac:dyDescent="0.25">
      <c r="A24" s="19"/>
      <c r="B24" s="20">
        <f>DATE(2022,8,1)</f>
        <v>44774</v>
      </c>
      <c r="C24" s="21">
        <v>103784</v>
      </c>
      <c r="D24" s="21">
        <v>103353</v>
      </c>
      <c r="E24" s="23">
        <f t="shared" si="5"/>
        <v>4.1701740636459509E-3</v>
      </c>
      <c r="F24" s="21">
        <f>+C24-49858</f>
        <v>53926</v>
      </c>
      <c r="G24" s="21">
        <f>+D24-50446</f>
        <v>52907</v>
      </c>
      <c r="H24" s="23">
        <f t="shared" si="6"/>
        <v>1.9260211314192827E-2</v>
      </c>
      <c r="I24" s="24">
        <f t="shared" si="7"/>
        <v>72.901039948354281</v>
      </c>
      <c r="J24" s="24">
        <f t="shared" si="8"/>
        <v>140.30266531914106</v>
      </c>
      <c r="K24" s="21">
        <v>7565961.5300000003</v>
      </c>
      <c r="L24" s="21">
        <v>7190146.6100000003</v>
      </c>
      <c r="M24" s="25">
        <f t="shared" si="9"/>
        <v>5.2268046868101332E-2</v>
      </c>
      <c r="N24" s="10"/>
      <c r="R24" s="2"/>
    </row>
    <row r="25" spans="1:18" ht="15.75" x14ac:dyDescent="0.25">
      <c r="A25" s="19"/>
      <c r="B25" s="20">
        <f>DATE(2022,9,1)</f>
        <v>44805</v>
      </c>
      <c r="C25" s="21">
        <v>107511</v>
      </c>
      <c r="D25" s="21">
        <v>103596</v>
      </c>
      <c r="E25" s="23">
        <f t="shared" si="5"/>
        <v>3.7791034402872695E-2</v>
      </c>
      <c r="F25" s="21">
        <f>+C25-51983</f>
        <v>55528</v>
      </c>
      <c r="G25" s="21">
        <f>+D25-49808</f>
        <v>53788</v>
      </c>
      <c r="H25" s="23">
        <f t="shared" si="6"/>
        <v>3.2349222874990702E-2</v>
      </c>
      <c r="I25" s="24">
        <f t="shared" si="7"/>
        <v>72.494149807926632</v>
      </c>
      <c r="J25" s="24">
        <f t="shared" si="8"/>
        <v>140.36015235556837</v>
      </c>
      <c r="K25" s="21">
        <v>7793918.54</v>
      </c>
      <c r="L25" s="21">
        <v>7629702.1100000003</v>
      </c>
      <c r="M25" s="25">
        <f t="shared" si="9"/>
        <v>2.1523308201609418E-2</v>
      </c>
      <c r="N25" s="10"/>
      <c r="R25" s="2"/>
    </row>
    <row r="26" spans="1:18" ht="15.75" x14ac:dyDescent="0.25">
      <c r="A26" s="19"/>
      <c r="B26" s="20">
        <f>DATE(2022,10,1)</f>
        <v>44835</v>
      </c>
      <c r="C26" s="21">
        <v>104490</v>
      </c>
      <c r="D26" s="21">
        <v>110079</v>
      </c>
      <c r="E26" s="23">
        <f t="shared" si="5"/>
        <v>-5.0772626931567331E-2</v>
      </c>
      <c r="F26" s="21">
        <f>+C26-49825</f>
        <v>54665</v>
      </c>
      <c r="G26" s="21">
        <f>+D26-53226</f>
        <v>56853</v>
      </c>
      <c r="H26" s="23">
        <f t="shared" si="6"/>
        <v>-3.8485216259476193E-2</v>
      </c>
      <c r="I26" s="24">
        <f t="shared" si="7"/>
        <v>73.323919418126138</v>
      </c>
      <c r="J26" s="24">
        <f t="shared" si="8"/>
        <v>140.15579145705661</v>
      </c>
      <c r="K26" s="21">
        <v>7661616.3399999999</v>
      </c>
      <c r="L26" s="21">
        <v>7839043.7599999998</v>
      </c>
      <c r="M26" s="25">
        <f t="shared" si="9"/>
        <v>-2.263380910122639E-2</v>
      </c>
      <c r="N26" s="10"/>
      <c r="R26" s="2"/>
    </row>
    <row r="27" spans="1:18" ht="15.75" x14ac:dyDescent="0.25">
      <c r="A27" s="19"/>
      <c r="B27" s="20">
        <f>DATE(2022,11,1)</f>
        <v>44866</v>
      </c>
      <c r="C27" s="21">
        <v>93678</v>
      </c>
      <c r="D27" s="21">
        <v>95314</v>
      </c>
      <c r="E27" s="23">
        <f t="shared" si="5"/>
        <v>-1.7164320036930567E-2</v>
      </c>
      <c r="F27" s="21">
        <f>+C27-44918</f>
        <v>48760</v>
      </c>
      <c r="G27" s="21">
        <f>+D27-46228</f>
        <v>49086</v>
      </c>
      <c r="H27" s="23">
        <f t="shared" si="6"/>
        <v>-6.6414048812288634E-3</v>
      </c>
      <c r="I27" s="24">
        <f t="shared" si="7"/>
        <v>75.066462349751276</v>
      </c>
      <c r="J27" s="24">
        <f t="shared" si="8"/>
        <v>144.21813084495489</v>
      </c>
      <c r="K27" s="21">
        <v>7032076.0599999996</v>
      </c>
      <c r="L27" s="21">
        <v>6796062.1399999997</v>
      </c>
      <c r="M27" s="25">
        <f t="shared" si="9"/>
        <v>3.4728040317771422E-2</v>
      </c>
      <c r="N27" s="10"/>
      <c r="R27" s="2"/>
    </row>
    <row r="28" spans="1:18" ht="15.75" x14ac:dyDescent="0.25">
      <c r="A28" s="19"/>
      <c r="B28" s="20">
        <f>DATE(2022,12,1)</f>
        <v>44896</v>
      </c>
      <c r="C28" s="21">
        <v>102036</v>
      </c>
      <c r="D28" s="21">
        <v>104553</v>
      </c>
      <c r="E28" s="23">
        <f t="shared" si="5"/>
        <v>-2.4073914665289374E-2</v>
      </c>
      <c r="F28" s="21">
        <f>+C28-49071</f>
        <v>52965</v>
      </c>
      <c r="G28" s="21">
        <f>+D28-51073</f>
        <v>53480</v>
      </c>
      <c r="H28" s="23">
        <f t="shared" si="6"/>
        <v>-9.6297681376215413E-3</v>
      </c>
      <c r="I28" s="24">
        <f t="shared" si="7"/>
        <v>72.513314124426671</v>
      </c>
      <c r="J28" s="24">
        <f t="shared" si="8"/>
        <v>139.69543132257149</v>
      </c>
      <c r="K28" s="21">
        <v>7398968.5199999996</v>
      </c>
      <c r="L28" s="21">
        <v>7388208.9000000004</v>
      </c>
      <c r="M28" s="25">
        <f t="shared" si="9"/>
        <v>1.4563231962755113E-3</v>
      </c>
      <c r="N28" s="10"/>
      <c r="R28" s="2"/>
    </row>
    <row r="29" spans="1:18" ht="15.75" x14ac:dyDescent="0.25">
      <c r="A29" s="19"/>
      <c r="B29" s="20">
        <f>DATE(2023,1,1)</f>
        <v>44927</v>
      </c>
      <c r="C29" s="21">
        <v>98251</v>
      </c>
      <c r="D29" s="21">
        <v>85873</v>
      </c>
      <c r="E29" s="23">
        <f t="shared" si="5"/>
        <v>0.14414309503569225</v>
      </c>
      <c r="F29" s="21">
        <f>+C29-47583</f>
        <v>50668</v>
      </c>
      <c r="G29" s="21">
        <f>+D29-42515</f>
        <v>43358</v>
      </c>
      <c r="H29" s="23">
        <f t="shared" si="6"/>
        <v>0.16859633746944047</v>
      </c>
      <c r="I29" s="24">
        <f t="shared" si="7"/>
        <v>73.310765488391965</v>
      </c>
      <c r="J29" s="24">
        <f t="shared" si="8"/>
        <v>142.15789097655323</v>
      </c>
      <c r="K29" s="21">
        <v>7202856.0199999996</v>
      </c>
      <c r="L29" s="21">
        <v>6662490.6900000004</v>
      </c>
      <c r="M29" s="25">
        <f t="shared" si="9"/>
        <v>8.1105603766329484E-2</v>
      </c>
      <c r="N29" s="10"/>
      <c r="R29" s="2"/>
    </row>
    <row r="30" spans="1:18" ht="15.75" x14ac:dyDescent="0.25">
      <c r="A30" s="19"/>
      <c r="B30" s="20">
        <f>DATE(2023,2,1)</f>
        <v>44958</v>
      </c>
      <c r="C30" s="21">
        <v>104260</v>
      </c>
      <c r="D30" s="21">
        <v>95434</v>
      </c>
      <c r="E30" s="23">
        <f t="shared" si="5"/>
        <v>9.2482762956598283E-2</v>
      </c>
      <c r="F30" s="21">
        <f>+C30-49646</f>
        <v>54614</v>
      </c>
      <c r="G30" s="21">
        <f>+D30-47101</f>
        <v>48333</v>
      </c>
      <c r="H30" s="23">
        <f t="shared" si="6"/>
        <v>0.12995262036289906</v>
      </c>
      <c r="I30" s="24">
        <f t="shared" si="7"/>
        <v>73.379385862267398</v>
      </c>
      <c r="J30" s="24">
        <f t="shared" si="8"/>
        <v>140.08376551799904</v>
      </c>
      <c r="K30" s="21">
        <v>7650534.7699999996</v>
      </c>
      <c r="L30" s="21">
        <v>6600177.21</v>
      </c>
      <c r="M30" s="25">
        <f t="shared" si="9"/>
        <v>0.15914081191768481</v>
      </c>
      <c r="N30" s="10"/>
      <c r="R30" s="2"/>
    </row>
    <row r="31" spans="1:18" ht="15.75" x14ac:dyDescent="0.25">
      <c r="A31" s="19"/>
      <c r="B31" s="20">
        <f>DATE(2023,3,1)</f>
        <v>44986</v>
      </c>
      <c r="C31" s="21">
        <v>109210</v>
      </c>
      <c r="D31" s="21">
        <v>109835</v>
      </c>
      <c r="E31" s="23">
        <f t="shared" si="5"/>
        <v>-5.690353712386762E-3</v>
      </c>
      <c r="F31" s="21">
        <f>+C31-53257</f>
        <v>55953</v>
      </c>
      <c r="G31" s="21">
        <f>+D31-53778</f>
        <v>56057</v>
      </c>
      <c r="H31" s="23">
        <f t="shared" si="6"/>
        <v>-1.8552544731255686E-3</v>
      </c>
      <c r="I31" s="24">
        <f t="shared" si="7"/>
        <v>78.606008332570283</v>
      </c>
      <c r="J31" s="24">
        <f t="shared" si="8"/>
        <v>153.42452004360803</v>
      </c>
      <c r="K31" s="21">
        <v>8584562.1699999999</v>
      </c>
      <c r="L31" s="21">
        <v>7942173.29</v>
      </c>
      <c r="M31" s="25">
        <f t="shared" si="9"/>
        <v>8.0883261614151949E-2</v>
      </c>
      <c r="N31" s="10"/>
      <c r="R31" s="2"/>
    </row>
    <row r="32" spans="1:18" ht="15.75" x14ac:dyDescent="0.25">
      <c r="A32" s="19"/>
      <c r="B32" s="20">
        <f>DATE(2023,4,1)</f>
        <v>45017</v>
      </c>
      <c r="C32" s="21">
        <v>104455</v>
      </c>
      <c r="D32" s="21">
        <v>109068</v>
      </c>
      <c r="E32" s="23">
        <f t="shared" si="5"/>
        <v>-4.2294715223530274E-2</v>
      </c>
      <c r="F32" s="21">
        <f>+C32-51429</f>
        <v>53026</v>
      </c>
      <c r="G32" s="21">
        <f>+D32-53446</f>
        <v>55622</v>
      </c>
      <c r="H32" s="23">
        <f t="shared" si="6"/>
        <v>-4.6672180072633129E-2</v>
      </c>
      <c r="I32" s="24">
        <f t="shared" si="7"/>
        <v>78.037457373988801</v>
      </c>
      <c r="J32" s="24">
        <f t="shared" si="8"/>
        <v>153.72463715912949</v>
      </c>
      <c r="K32" s="21">
        <v>8151402.6100000003</v>
      </c>
      <c r="L32" s="21">
        <v>8319224.7599999998</v>
      </c>
      <c r="M32" s="25">
        <f t="shared" si="9"/>
        <v>-2.0172811150254277E-2</v>
      </c>
      <c r="N32" s="10"/>
      <c r="R32" s="2"/>
    </row>
    <row r="33" spans="1:18" ht="15.75" x14ac:dyDescent="0.25">
      <c r="A33" s="19"/>
      <c r="B33" s="20">
        <f>DATE(2023,5,1)</f>
        <v>45047</v>
      </c>
      <c r="C33" s="21">
        <v>100250</v>
      </c>
      <c r="D33" s="21">
        <v>101711</v>
      </c>
      <c r="E33" s="23">
        <f t="shared" si="5"/>
        <v>-1.4364228057928837E-2</v>
      </c>
      <c r="F33" s="21">
        <f>+C33-48454</f>
        <v>51796</v>
      </c>
      <c r="G33" s="21">
        <f>+D33-48823</f>
        <v>52888</v>
      </c>
      <c r="H33" s="23">
        <f t="shared" si="6"/>
        <v>-2.0647405838753592E-2</v>
      </c>
      <c r="I33" s="24">
        <f t="shared" si="7"/>
        <v>76.428070922693266</v>
      </c>
      <c r="J33" s="24">
        <f t="shared" si="8"/>
        <v>147.92482257317167</v>
      </c>
      <c r="K33" s="21">
        <v>7661914.1100000003</v>
      </c>
      <c r="L33" s="21">
        <v>7186533.29</v>
      </c>
      <c r="M33" s="25">
        <f t="shared" si="9"/>
        <v>6.6148837111975625E-2</v>
      </c>
      <c r="N33" s="10"/>
      <c r="R33" s="2"/>
    </row>
    <row r="34" spans="1:18" ht="15.75" customHeight="1" thickBot="1" x14ac:dyDescent="0.3">
      <c r="A34" s="19"/>
      <c r="B34" s="20"/>
      <c r="C34" s="21"/>
      <c r="D34" s="21"/>
      <c r="E34" s="23"/>
      <c r="F34" s="21"/>
      <c r="G34" s="21"/>
      <c r="H34" s="23"/>
      <c r="I34" s="24"/>
      <c r="J34" s="24"/>
      <c r="K34" s="21"/>
      <c r="L34" s="21"/>
      <c r="M34" s="25"/>
      <c r="N34" s="10"/>
      <c r="R34" s="2"/>
    </row>
    <row r="35" spans="1:18" ht="17.25" customHeight="1" thickTop="1" thickBot="1" x14ac:dyDescent="0.3">
      <c r="A35" s="26" t="s">
        <v>14</v>
      </c>
      <c r="B35" s="27"/>
      <c r="C35" s="28">
        <f>SUM(C23:C34)</f>
        <v>1142640</v>
      </c>
      <c r="D35" s="28">
        <f>SUM(D23:D34)</f>
        <v>1134923</v>
      </c>
      <c r="E35" s="279">
        <f>(+C35-D35)/D35</f>
        <v>6.7995802358397882E-3</v>
      </c>
      <c r="F35" s="28">
        <f>SUM(F23:F34)</f>
        <v>591048</v>
      </c>
      <c r="G35" s="28">
        <f>SUM(G23:G34)</f>
        <v>582269</v>
      </c>
      <c r="H35" s="30">
        <f>(+F35-G35)/G35</f>
        <v>1.5077223757404223E-2</v>
      </c>
      <c r="I35" s="31">
        <f>K35/C35</f>
        <v>74.476269761254628</v>
      </c>
      <c r="J35" s="31">
        <f>K35/F35</f>
        <v>143.98080169461701</v>
      </c>
      <c r="K35" s="28">
        <f>SUM(K23:K34)</f>
        <v>85099564.879999995</v>
      </c>
      <c r="L35" s="28">
        <f>SUM(L23:L34)</f>
        <v>81612698.410000011</v>
      </c>
      <c r="M35" s="32">
        <f>(+K35-L35)/L35</f>
        <v>4.2724558039766249E-2</v>
      </c>
      <c r="N35" s="10"/>
      <c r="R35" s="2"/>
    </row>
    <row r="36" spans="1:18" ht="15.75" customHeight="1" thickTop="1" x14ac:dyDescent="0.25">
      <c r="A36" s="33"/>
      <c r="B36" s="34"/>
      <c r="C36" s="35"/>
      <c r="D36" s="35"/>
      <c r="E36" s="29"/>
      <c r="F36" s="35"/>
      <c r="G36" s="35"/>
      <c r="H36" s="29"/>
      <c r="I36" s="36"/>
      <c r="J36" s="36"/>
      <c r="K36" s="35"/>
      <c r="L36" s="35"/>
      <c r="M36" s="37"/>
      <c r="N36" s="10"/>
      <c r="R36" s="2"/>
    </row>
    <row r="37" spans="1:18" ht="15.75" customHeight="1" x14ac:dyDescent="0.25">
      <c r="A37" s="19" t="s">
        <v>62</v>
      </c>
      <c r="B37" s="20">
        <f>DATE(2022,7,1)</f>
        <v>44743</v>
      </c>
      <c r="C37" s="21">
        <v>56544</v>
      </c>
      <c r="D37" s="21">
        <v>66837</v>
      </c>
      <c r="E37" s="23">
        <f t="shared" ref="E37:E47" si="10">(+C37-D37)/D37</f>
        <v>-0.15400152610081241</v>
      </c>
      <c r="F37" s="21">
        <f>+C37-31773</f>
        <v>24771</v>
      </c>
      <c r="G37" s="21">
        <f>+D37-37212</f>
        <v>29625</v>
      </c>
      <c r="H37" s="23">
        <f t="shared" ref="H37:H47" si="11">(+F37-G37)/G37</f>
        <v>-0.16384810126582278</v>
      </c>
      <c r="I37" s="24">
        <f t="shared" ref="I37:I47" si="12">K37/C37</f>
        <v>66.965773556876059</v>
      </c>
      <c r="J37" s="24">
        <f t="shared" ref="J37:J47" si="13">K37/F37</f>
        <v>152.86071212304711</v>
      </c>
      <c r="K37" s="21">
        <v>3786512.7</v>
      </c>
      <c r="L37" s="21">
        <v>4599517.95</v>
      </c>
      <c r="M37" s="25">
        <f t="shared" ref="M37:M47" si="14">(+K37-L37)/L37</f>
        <v>-0.17675879490806204</v>
      </c>
      <c r="N37" s="10"/>
      <c r="R37" s="2"/>
    </row>
    <row r="38" spans="1:18" ht="15.75" customHeight="1" x14ac:dyDescent="0.25">
      <c r="A38" s="19"/>
      <c r="B38" s="20">
        <f>DATE(2022,8,1)</f>
        <v>44774</v>
      </c>
      <c r="C38" s="21">
        <v>49669</v>
      </c>
      <c r="D38" s="21">
        <v>56112</v>
      </c>
      <c r="E38" s="23">
        <f t="shared" si="10"/>
        <v>-0.11482392358140861</v>
      </c>
      <c r="F38" s="21">
        <f>+C38-27651</f>
        <v>22018</v>
      </c>
      <c r="G38" s="21">
        <f>+D38-31048</f>
        <v>25064</v>
      </c>
      <c r="H38" s="23">
        <f t="shared" si="11"/>
        <v>-0.12152888605170763</v>
      </c>
      <c r="I38" s="24">
        <f t="shared" si="12"/>
        <v>70.406360305220559</v>
      </c>
      <c r="J38" s="24">
        <f t="shared" si="13"/>
        <v>158.8252116450177</v>
      </c>
      <c r="K38" s="21">
        <v>3497013.51</v>
      </c>
      <c r="L38" s="21">
        <v>3838097.49</v>
      </c>
      <c r="M38" s="25">
        <f t="shared" si="14"/>
        <v>-8.8867982350286895E-2</v>
      </c>
      <c r="N38" s="10"/>
      <c r="R38" s="2"/>
    </row>
    <row r="39" spans="1:18" ht="15.75" customHeight="1" x14ac:dyDescent="0.25">
      <c r="A39" s="19"/>
      <c r="B39" s="20">
        <f>DATE(2022,9,1)</f>
        <v>44805</v>
      </c>
      <c r="C39" s="21">
        <v>50523</v>
      </c>
      <c r="D39" s="21">
        <v>58084</v>
      </c>
      <c r="E39" s="23">
        <f t="shared" si="10"/>
        <v>-0.13017354176709592</v>
      </c>
      <c r="F39" s="21">
        <f>+C39-27954</f>
        <v>22569</v>
      </c>
      <c r="G39" s="21">
        <f>+D39-32339</f>
        <v>25745</v>
      </c>
      <c r="H39" s="23">
        <f t="shared" si="11"/>
        <v>-0.12336375995338901</v>
      </c>
      <c r="I39" s="24">
        <f t="shared" si="12"/>
        <v>71.191422718365899</v>
      </c>
      <c r="J39" s="24">
        <f t="shared" si="13"/>
        <v>159.36923434799948</v>
      </c>
      <c r="K39" s="21">
        <v>3596804.25</v>
      </c>
      <c r="L39" s="21">
        <v>4086616.29</v>
      </c>
      <c r="M39" s="25">
        <f t="shared" si="14"/>
        <v>-0.11985760473734128</v>
      </c>
      <c r="N39" s="10"/>
      <c r="R39" s="2"/>
    </row>
    <row r="40" spans="1:18" ht="15.75" customHeight="1" x14ac:dyDescent="0.25">
      <c r="A40" s="19"/>
      <c r="B40" s="20">
        <f>DATE(2022,10,1)</f>
        <v>44835</v>
      </c>
      <c r="C40" s="21">
        <v>47473</v>
      </c>
      <c r="D40" s="21">
        <v>57860</v>
      </c>
      <c r="E40" s="23">
        <f t="shared" si="10"/>
        <v>-0.17951952989975803</v>
      </c>
      <c r="F40" s="21">
        <f>+C40-26103</f>
        <v>21370</v>
      </c>
      <c r="G40" s="21">
        <f>+D40-32287</f>
        <v>25573</v>
      </c>
      <c r="H40" s="23">
        <f t="shared" si="11"/>
        <v>-0.16435302858483558</v>
      </c>
      <c r="I40" s="24">
        <f t="shared" si="12"/>
        <v>70.768336528131783</v>
      </c>
      <c r="J40" s="24">
        <f t="shared" si="13"/>
        <v>157.21035283107162</v>
      </c>
      <c r="K40" s="21">
        <v>3359585.24</v>
      </c>
      <c r="L40" s="21">
        <v>4102964.61</v>
      </c>
      <c r="M40" s="25">
        <f t="shared" si="14"/>
        <v>-0.18118103387686779</v>
      </c>
      <c r="N40" s="10"/>
      <c r="R40" s="2"/>
    </row>
    <row r="41" spans="1:18" ht="15.75" customHeight="1" x14ac:dyDescent="0.25">
      <c r="A41" s="19"/>
      <c r="B41" s="20">
        <f>DATE(2022,11,1)</f>
        <v>44866</v>
      </c>
      <c r="C41" s="21">
        <v>39425</v>
      </c>
      <c r="D41" s="21">
        <v>51753</v>
      </c>
      <c r="E41" s="23">
        <f t="shared" si="10"/>
        <v>-0.23820841303885765</v>
      </c>
      <c r="F41" s="21">
        <f>+C41-21931</f>
        <v>17494</v>
      </c>
      <c r="G41" s="21">
        <f>+D41-28958</f>
        <v>22795</v>
      </c>
      <c r="H41" s="23">
        <f t="shared" si="11"/>
        <v>-0.23255099802588286</v>
      </c>
      <c r="I41" s="24">
        <f t="shared" si="12"/>
        <v>78.5845882054534</v>
      </c>
      <c r="J41" s="24">
        <f t="shared" si="13"/>
        <v>177.10057105293245</v>
      </c>
      <c r="K41" s="21">
        <v>3098197.39</v>
      </c>
      <c r="L41" s="21">
        <v>3696376.98</v>
      </c>
      <c r="M41" s="25">
        <f t="shared" si="14"/>
        <v>-0.16182862117056032</v>
      </c>
      <c r="N41" s="10"/>
      <c r="R41" s="2"/>
    </row>
    <row r="42" spans="1:18" ht="15.75" customHeight="1" x14ac:dyDescent="0.25">
      <c r="A42" s="19"/>
      <c r="B42" s="20">
        <f>DATE(2022,12,1)</f>
        <v>44896</v>
      </c>
      <c r="C42" s="21">
        <v>43315</v>
      </c>
      <c r="D42" s="21">
        <v>57109</v>
      </c>
      <c r="E42" s="23">
        <f t="shared" si="10"/>
        <v>-0.24153811133096359</v>
      </c>
      <c r="F42" s="21">
        <f>+C42-23779</f>
        <v>19536</v>
      </c>
      <c r="G42" s="21">
        <f>+D42-32118</f>
        <v>24991</v>
      </c>
      <c r="H42" s="23">
        <f t="shared" si="11"/>
        <v>-0.21827858028890401</v>
      </c>
      <c r="I42" s="24">
        <f t="shared" si="12"/>
        <v>72.498985109084614</v>
      </c>
      <c r="J42" s="24">
        <f t="shared" si="13"/>
        <v>160.74393632268632</v>
      </c>
      <c r="K42" s="21">
        <v>3140293.54</v>
      </c>
      <c r="L42" s="21">
        <v>3934957.36</v>
      </c>
      <c r="M42" s="25">
        <f t="shared" si="14"/>
        <v>-0.2019497919032088</v>
      </c>
      <c r="N42" s="10"/>
      <c r="R42" s="2"/>
    </row>
    <row r="43" spans="1:18" ht="15.75" customHeight="1" x14ac:dyDescent="0.25">
      <c r="A43" s="19"/>
      <c r="B43" s="20">
        <f>DATE(2023,1,1)</f>
        <v>44927</v>
      </c>
      <c r="C43" s="21">
        <v>50810</v>
      </c>
      <c r="D43" s="21">
        <v>47271</v>
      </c>
      <c r="E43" s="23">
        <f t="shared" si="10"/>
        <v>7.4866197034122395E-2</v>
      </c>
      <c r="F43" s="21">
        <f>+C43-28221</f>
        <v>22589</v>
      </c>
      <c r="G43" s="21">
        <f>+D43-26698</f>
        <v>20573</v>
      </c>
      <c r="H43" s="23">
        <f t="shared" si="11"/>
        <v>9.7992514460700925E-2</v>
      </c>
      <c r="I43" s="24">
        <f t="shared" si="12"/>
        <v>71.480214524699861</v>
      </c>
      <c r="J43" s="24">
        <f t="shared" si="13"/>
        <v>160.78222586214531</v>
      </c>
      <c r="K43" s="21">
        <v>3631909.7</v>
      </c>
      <c r="L43" s="21">
        <v>3435231.46</v>
      </c>
      <c r="M43" s="25">
        <f t="shared" si="14"/>
        <v>5.7253271661642333E-2</v>
      </c>
      <c r="N43" s="10"/>
      <c r="R43" s="2"/>
    </row>
    <row r="44" spans="1:18" ht="15.75" customHeight="1" x14ac:dyDescent="0.25">
      <c r="A44" s="19"/>
      <c r="B44" s="20">
        <f>DATE(2023,2,1)</f>
        <v>44958</v>
      </c>
      <c r="C44" s="21">
        <v>57307</v>
      </c>
      <c r="D44" s="21">
        <v>51279</v>
      </c>
      <c r="E44" s="23">
        <f t="shared" si="10"/>
        <v>0.11755299440316699</v>
      </c>
      <c r="F44" s="21">
        <f>+C44-31374</f>
        <v>25933</v>
      </c>
      <c r="G44" s="21">
        <f>+D44-29313</f>
        <v>21966</v>
      </c>
      <c r="H44" s="23">
        <f t="shared" si="11"/>
        <v>0.18059728671583355</v>
      </c>
      <c r="I44" s="24">
        <f t="shared" si="12"/>
        <v>68.157135602980446</v>
      </c>
      <c r="J44" s="24">
        <f t="shared" si="13"/>
        <v>150.61431265183359</v>
      </c>
      <c r="K44" s="21">
        <v>3905880.97</v>
      </c>
      <c r="L44" s="21">
        <v>3789444.1</v>
      </c>
      <c r="M44" s="25">
        <f t="shared" si="14"/>
        <v>3.072663613114127E-2</v>
      </c>
      <c r="N44" s="10"/>
      <c r="R44" s="2"/>
    </row>
    <row r="45" spans="1:18" ht="15.75" customHeight="1" x14ac:dyDescent="0.25">
      <c r="A45" s="19"/>
      <c r="B45" s="20">
        <f>DATE(2023,3,1)</f>
        <v>44986</v>
      </c>
      <c r="C45" s="21">
        <v>62514</v>
      </c>
      <c r="D45" s="21">
        <v>60768</v>
      </c>
      <c r="E45" s="23">
        <f t="shared" si="10"/>
        <v>2.8732227488151657E-2</v>
      </c>
      <c r="F45" s="21">
        <f>+C45-33809</f>
        <v>28705</v>
      </c>
      <c r="G45" s="21">
        <f>+D45-33441</f>
        <v>27327</v>
      </c>
      <c r="H45" s="23">
        <f t="shared" si="11"/>
        <v>5.0426318293263071E-2</v>
      </c>
      <c r="I45" s="24">
        <f t="shared" si="12"/>
        <v>72.110541478708768</v>
      </c>
      <c r="J45" s="24">
        <f t="shared" si="13"/>
        <v>157.04296777564883</v>
      </c>
      <c r="K45" s="21">
        <v>4507918.3899999997</v>
      </c>
      <c r="L45" s="21">
        <v>4791438.0599999996</v>
      </c>
      <c r="M45" s="25">
        <f t="shared" si="14"/>
        <v>-5.9172145491535363E-2</v>
      </c>
      <c r="N45" s="10"/>
      <c r="R45" s="2"/>
    </row>
    <row r="46" spans="1:18" ht="15.75" customHeight="1" x14ac:dyDescent="0.25">
      <c r="A46" s="19"/>
      <c r="B46" s="20">
        <f>DATE(2023,4,1)</f>
        <v>45017</v>
      </c>
      <c r="C46" s="21">
        <v>57888</v>
      </c>
      <c r="D46" s="21">
        <v>58182</v>
      </c>
      <c r="E46" s="23">
        <f t="shared" si="10"/>
        <v>-5.0531092090337218E-3</v>
      </c>
      <c r="F46" s="21">
        <f>+C46-31142</f>
        <v>26746</v>
      </c>
      <c r="G46" s="21">
        <f>+D46-32789</f>
        <v>25393</v>
      </c>
      <c r="H46" s="23">
        <f t="shared" si="11"/>
        <v>5.3282400661599651E-2</v>
      </c>
      <c r="I46" s="24">
        <f t="shared" si="12"/>
        <v>70.430680106412382</v>
      </c>
      <c r="J46" s="24">
        <f t="shared" si="13"/>
        <v>152.43741905331638</v>
      </c>
      <c r="K46" s="21">
        <v>4077091.21</v>
      </c>
      <c r="L46" s="21">
        <v>4393043.66</v>
      </c>
      <c r="M46" s="25">
        <f t="shared" si="14"/>
        <v>-7.1921081248712243E-2</v>
      </c>
      <c r="N46" s="10"/>
      <c r="R46" s="2"/>
    </row>
    <row r="47" spans="1:18" ht="15.75" customHeight="1" x14ac:dyDescent="0.25">
      <c r="A47" s="19"/>
      <c r="B47" s="20">
        <f>DATE(2023,5,1)</f>
        <v>45047</v>
      </c>
      <c r="C47" s="21">
        <v>55706</v>
      </c>
      <c r="D47" s="21">
        <v>53655</v>
      </c>
      <c r="E47" s="23">
        <f t="shared" si="10"/>
        <v>3.8225701239399869E-2</v>
      </c>
      <c r="F47" s="21">
        <f>+C47-29309</f>
        <v>26397</v>
      </c>
      <c r="G47" s="21">
        <f>+D47-29997</f>
        <v>23658</v>
      </c>
      <c r="H47" s="23">
        <f t="shared" si="11"/>
        <v>0.11577479076845042</v>
      </c>
      <c r="I47" s="24">
        <f t="shared" si="12"/>
        <v>70.183429074067433</v>
      </c>
      <c r="J47" s="24">
        <f t="shared" si="13"/>
        <v>148.10918286168882</v>
      </c>
      <c r="K47" s="21">
        <v>3909638.1</v>
      </c>
      <c r="L47" s="21">
        <v>3987139.68</v>
      </c>
      <c r="M47" s="25">
        <f t="shared" si="14"/>
        <v>-1.9437889369353638E-2</v>
      </c>
      <c r="N47" s="10"/>
      <c r="R47" s="2"/>
    </row>
    <row r="48" spans="1:18" ht="15.75" customHeight="1" thickBot="1" x14ac:dyDescent="0.25">
      <c r="A48" s="38"/>
      <c r="B48" s="20"/>
      <c r="C48" s="21"/>
      <c r="D48" s="21"/>
      <c r="E48" s="23"/>
      <c r="F48" s="21"/>
      <c r="G48" s="21"/>
      <c r="H48" s="23"/>
      <c r="I48" s="24"/>
      <c r="J48" s="24"/>
      <c r="K48" s="21"/>
      <c r="L48" s="21"/>
      <c r="M48" s="25"/>
      <c r="N48" s="10"/>
      <c r="R48" s="2"/>
    </row>
    <row r="49" spans="1:18" ht="17.25" customHeight="1" thickTop="1" thickBot="1" x14ac:dyDescent="0.3">
      <c r="A49" s="39" t="s">
        <v>14</v>
      </c>
      <c r="B49" s="40"/>
      <c r="C49" s="41">
        <f>SUM(C37:C48)</f>
        <v>571174</v>
      </c>
      <c r="D49" s="41">
        <f>SUM(D37:D48)</f>
        <v>618910</v>
      </c>
      <c r="E49" s="280">
        <f>(+C49-D49)/D49</f>
        <v>-7.7129146402546409E-2</v>
      </c>
      <c r="F49" s="41">
        <f>SUM(F37:F48)</f>
        <v>258128</v>
      </c>
      <c r="G49" s="41">
        <f>SUM(G37:G48)</f>
        <v>272710</v>
      </c>
      <c r="H49" s="42">
        <f>(+F49-G49)/G49</f>
        <v>-5.3470719812254777E-2</v>
      </c>
      <c r="I49" s="43">
        <f>K49/C49</f>
        <v>70.925576094149946</v>
      </c>
      <c r="J49" s="43">
        <f>K49/F49</f>
        <v>156.94091690944029</v>
      </c>
      <c r="K49" s="41">
        <f>SUM(K37:K48)</f>
        <v>40510845</v>
      </c>
      <c r="L49" s="41">
        <f>SUM(L37:L48)</f>
        <v>44654827.640000008</v>
      </c>
      <c r="M49" s="44">
        <f>(+K49-L49)/L49</f>
        <v>-9.2800327736300439E-2</v>
      </c>
      <c r="N49" s="10"/>
      <c r="R49" s="2"/>
    </row>
    <row r="50" spans="1:18" ht="15.75" customHeight="1" thickTop="1" x14ac:dyDescent="0.2">
      <c r="A50" s="38"/>
      <c r="B50" s="45"/>
      <c r="C50" s="21"/>
      <c r="D50" s="21"/>
      <c r="E50" s="23"/>
      <c r="F50" s="21"/>
      <c r="G50" s="21"/>
      <c r="H50" s="23"/>
      <c r="I50" s="24"/>
      <c r="J50" s="24"/>
      <c r="K50" s="21"/>
      <c r="L50" s="21"/>
      <c r="M50" s="25"/>
      <c r="N50" s="10"/>
      <c r="R50" s="2"/>
    </row>
    <row r="51" spans="1:18" ht="15.75" customHeight="1" x14ac:dyDescent="0.25">
      <c r="A51" s="177" t="s">
        <v>58</v>
      </c>
      <c r="B51" s="20">
        <f>DATE(2022,7,1)</f>
        <v>44743</v>
      </c>
      <c r="C51" s="21">
        <v>327697</v>
      </c>
      <c r="D51" s="21">
        <v>337225</v>
      </c>
      <c r="E51" s="23">
        <f t="shared" ref="E51:E61" si="15">(+C51-D51)/D51</f>
        <v>-2.8254132997257025E-2</v>
      </c>
      <c r="F51" s="21">
        <f>+C51-165744</f>
        <v>161953</v>
      </c>
      <c r="G51" s="21">
        <f>+D51-176904</f>
        <v>160321</v>
      </c>
      <c r="H51" s="23">
        <f t="shared" ref="H51:H61" si="16">(+F51-G51)/G51</f>
        <v>1.0179577223195964E-2</v>
      </c>
      <c r="I51" s="24">
        <f t="shared" ref="I51:I61" si="17">K51/C51</f>
        <v>65.316613334879477</v>
      </c>
      <c r="J51" s="24">
        <f t="shared" ref="J51:J61" si="18">K51/F51</f>
        <v>132.16215963890758</v>
      </c>
      <c r="K51" s="21">
        <v>21404058.239999998</v>
      </c>
      <c r="L51" s="21">
        <v>19292691.57</v>
      </c>
      <c r="M51" s="25">
        <f t="shared" ref="M51:M61" si="19">(+K51-L51)/L51</f>
        <v>0.10943867849331912</v>
      </c>
      <c r="N51" s="10"/>
      <c r="R51" s="2"/>
    </row>
    <row r="52" spans="1:18" ht="15.75" customHeight="1" x14ac:dyDescent="0.25">
      <c r="A52" s="177"/>
      <c r="B52" s="20">
        <f>DATE(2022,8,1)</f>
        <v>44774</v>
      </c>
      <c r="C52" s="21">
        <v>302775</v>
      </c>
      <c r="D52" s="21">
        <v>302300</v>
      </c>
      <c r="E52" s="23">
        <f t="shared" si="15"/>
        <v>1.57128680119087E-3</v>
      </c>
      <c r="F52" s="21">
        <f>+C52-150422</f>
        <v>152353</v>
      </c>
      <c r="G52" s="21">
        <f>+D52-157033</f>
        <v>145267</v>
      </c>
      <c r="H52" s="23">
        <f t="shared" si="16"/>
        <v>4.8779144609580979E-2</v>
      </c>
      <c r="I52" s="24">
        <f t="shared" si="17"/>
        <v>63.880171150194037</v>
      </c>
      <c r="J52" s="24">
        <f t="shared" si="18"/>
        <v>126.95069227386399</v>
      </c>
      <c r="K52" s="21">
        <v>19341318.82</v>
      </c>
      <c r="L52" s="21">
        <v>17616276.93</v>
      </c>
      <c r="M52" s="25">
        <f t="shared" si="19"/>
        <v>9.79231818876726E-2</v>
      </c>
      <c r="N52" s="10"/>
      <c r="R52" s="2"/>
    </row>
    <row r="53" spans="1:18" ht="15.75" customHeight="1" x14ac:dyDescent="0.25">
      <c r="A53" s="177"/>
      <c r="B53" s="20">
        <f>DATE(2022,9,1)</f>
        <v>44805</v>
      </c>
      <c r="C53" s="21">
        <v>299586</v>
      </c>
      <c r="D53" s="21">
        <v>336142</v>
      </c>
      <c r="E53" s="23">
        <f t="shared" si="15"/>
        <v>-0.10875165852526611</v>
      </c>
      <c r="F53" s="21">
        <f>+C53-150974</f>
        <v>148612</v>
      </c>
      <c r="G53" s="21">
        <f>+D53-171648</f>
        <v>164494</v>
      </c>
      <c r="H53" s="23">
        <f t="shared" si="16"/>
        <v>-9.6550634065680208E-2</v>
      </c>
      <c r="I53" s="24">
        <f t="shared" si="17"/>
        <v>70.611926892444913</v>
      </c>
      <c r="J53" s="24">
        <f t="shared" si="18"/>
        <v>142.34614115952951</v>
      </c>
      <c r="K53" s="21">
        <v>21154344.73</v>
      </c>
      <c r="L53" s="21">
        <v>19389436.620000001</v>
      </c>
      <c r="M53" s="25">
        <f t="shared" si="19"/>
        <v>9.1024207901920937E-2</v>
      </c>
      <c r="N53" s="10"/>
      <c r="R53" s="2"/>
    </row>
    <row r="54" spans="1:18" ht="15.75" customHeight="1" x14ac:dyDescent="0.25">
      <c r="A54" s="177"/>
      <c r="B54" s="20">
        <f>DATE(2022,10,1)</f>
        <v>44835</v>
      </c>
      <c r="C54" s="21">
        <v>280901</v>
      </c>
      <c r="D54" s="21">
        <v>333807</v>
      </c>
      <c r="E54" s="23">
        <f t="shared" si="15"/>
        <v>-0.15849278175712314</v>
      </c>
      <c r="F54" s="21">
        <f>+C54-143073</f>
        <v>137828</v>
      </c>
      <c r="G54" s="21">
        <f>+D54-175822</f>
        <v>157985</v>
      </c>
      <c r="H54" s="23">
        <f t="shared" si="16"/>
        <v>-0.1275880621577998</v>
      </c>
      <c r="I54" s="24">
        <f t="shared" si="17"/>
        <v>68.552443743525302</v>
      </c>
      <c r="J54" s="24">
        <f t="shared" si="18"/>
        <v>139.71362858054968</v>
      </c>
      <c r="K54" s="21">
        <v>19256450</v>
      </c>
      <c r="L54" s="21">
        <v>19174424.98</v>
      </c>
      <c r="M54" s="25">
        <f t="shared" si="19"/>
        <v>4.2778346722551651E-3</v>
      </c>
      <c r="N54" s="10"/>
      <c r="R54" s="2"/>
    </row>
    <row r="55" spans="1:18" ht="15.75" customHeight="1" x14ac:dyDescent="0.25">
      <c r="A55" s="177"/>
      <c r="B55" s="20">
        <f>DATE(2022,11,1)</f>
        <v>44866</v>
      </c>
      <c r="C55" s="21">
        <v>277702</v>
      </c>
      <c r="D55" s="21">
        <v>303436</v>
      </c>
      <c r="E55" s="23">
        <f t="shared" si="15"/>
        <v>-8.4808658168444087E-2</v>
      </c>
      <c r="F55" s="21">
        <f>+C55-138977</f>
        <v>138725</v>
      </c>
      <c r="G55" s="21">
        <f>+D55-164494</f>
        <v>138942</v>
      </c>
      <c r="H55" s="23">
        <f t="shared" si="16"/>
        <v>-1.5618027666220438E-3</v>
      </c>
      <c r="I55" s="24">
        <f t="shared" si="17"/>
        <v>64.542748017659221</v>
      </c>
      <c r="J55" s="24">
        <f t="shared" si="18"/>
        <v>129.20274074608039</v>
      </c>
      <c r="K55" s="21">
        <v>17923650.210000001</v>
      </c>
      <c r="L55" s="21">
        <v>18834359.640000001</v>
      </c>
      <c r="M55" s="25">
        <f t="shared" si="19"/>
        <v>-4.8353617930596109E-2</v>
      </c>
      <c r="N55" s="10"/>
      <c r="R55" s="2"/>
    </row>
    <row r="56" spans="1:18" ht="15.75" customHeight="1" x14ac:dyDescent="0.25">
      <c r="A56" s="177"/>
      <c r="B56" s="20">
        <f>DATE(2022,12,1)</f>
        <v>44896</v>
      </c>
      <c r="C56" s="21">
        <v>302510</v>
      </c>
      <c r="D56" s="21">
        <v>313897</v>
      </c>
      <c r="E56" s="23">
        <f t="shared" si="15"/>
        <v>-3.6276230738108359E-2</v>
      </c>
      <c r="F56" s="21">
        <f>+C56-154252</f>
        <v>148258</v>
      </c>
      <c r="G56" s="21">
        <f>+D56-163677</f>
        <v>150220</v>
      </c>
      <c r="H56" s="23">
        <f t="shared" si="16"/>
        <v>-1.3060844095326854E-2</v>
      </c>
      <c r="I56" s="24">
        <f t="shared" si="17"/>
        <v>66.851725661961595</v>
      </c>
      <c r="J56" s="24">
        <f t="shared" si="18"/>
        <v>136.40623460454074</v>
      </c>
      <c r="K56" s="21">
        <v>20223315.530000001</v>
      </c>
      <c r="L56" s="21">
        <v>20352135.719999999</v>
      </c>
      <c r="M56" s="25">
        <f t="shared" si="19"/>
        <v>-6.329566182747411E-3</v>
      </c>
      <c r="N56" s="10"/>
      <c r="R56" s="2"/>
    </row>
    <row r="57" spans="1:18" ht="15.75" customHeight="1" x14ac:dyDescent="0.25">
      <c r="A57" s="177"/>
      <c r="B57" s="20">
        <f>DATE(2023,1,1)</f>
        <v>44927</v>
      </c>
      <c r="C57" s="21">
        <v>303832</v>
      </c>
      <c r="D57" s="21">
        <v>284315</v>
      </c>
      <c r="E57" s="23">
        <f t="shared" si="15"/>
        <v>6.8645692277931172E-2</v>
      </c>
      <c r="F57" s="21">
        <f>+C57-157346</f>
        <v>146486</v>
      </c>
      <c r="G57" s="21">
        <f>+D57-147505</f>
        <v>136810</v>
      </c>
      <c r="H57" s="23">
        <f t="shared" si="16"/>
        <v>7.0725824135662599E-2</v>
      </c>
      <c r="I57" s="24">
        <f t="shared" si="17"/>
        <v>62.243780576107845</v>
      </c>
      <c r="J57" s="24">
        <f t="shared" si="18"/>
        <v>129.10211446827682</v>
      </c>
      <c r="K57" s="21">
        <v>18911652.34</v>
      </c>
      <c r="L57" s="21">
        <v>18953051.140000001</v>
      </c>
      <c r="M57" s="25">
        <f t="shared" si="19"/>
        <v>-2.1842815541519584E-3</v>
      </c>
      <c r="N57" s="10"/>
      <c r="R57" s="2"/>
    </row>
    <row r="58" spans="1:18" ht="15.75" customHeight="1" x14ac:dyDescent="0.25">
      <c r="A58" s="177"/>
      <c r="B58" s="20">
        <f>DATE(2023,2,1)</f>
        <v>44958</v>
      </c>
      <c r="C58" s="21">
        <v>310506</v>
      </c>
      <c r="D58" s="21">
        <v>279152</v>
      </c>
      <c r="E58" s="23">
        <f t="shared" si="15"/>
        <v>0.1123187367455723</v>
      </c>
      <c r="F58" s="21">
        <f>+C58-160719</f>
        <v>149787</v>
      </c>
      <c r="G58" s="21">
        <f>+D58-149732</f>
        <v>129420</v>
      </c>
      <c r="H58" s="23">
        <f t="shared" si="16"/>
        <v>0.15737134909596662</v>
      </c>
      <c r="I58" s="24">
        <f t="shared" si="17"/>
        <v>62.29966457975047</v>
      </c>
      <c r="J58" s="24">
        <f t="shared" si="18"/>
        <v>129.14618524972127</v>
      </c>
      <c r="K58" s="21">
        <v>19344419.649999999</v>
      </c>
      <c r="L58" s="21">
        <v>17585750.390000001</v>
      </c>
      <c r="M58" s="25">
        <f t="shared" si="19"/>
        <v>0.10000535780378479</v>
      </c>
      <c r="N58" s="10"/>
      <c r="R58" s="2"/>
    </row>
    <row r="59" spans="1:18" ht="15.75" customHeight="1" x14ac:dyDescent="0.25">
      <c r="A59" s="177"/>
      <c r="B59" s="20">
        <f>DATE(2023,3,1)</f>
        <v>44986</v>
      </c>
      <c r="C59" s="21">
        <v>350533</v>
      </c>
      <c r="D59" s="21">
        <v>343142</v>
      </c>
      <c r="E59" s="23">
        <f t="shared" si="15"/>
        <v>2.1539187858087904E-2</v>
      </c>
      <c r="F59" s="21">
        <f>+C59-179914</f>
        <v>170619</v>
      </c>
      <c r="G59" s="21">
        <f>+D59-180419</f>
        <v>162723</v>
      </c>
      <c r="H59" s="23">
        <f t="shared" si="16"/>
        <v>4.8524179126491034E-2</v>
      </c>
      <c r="I59" s="24">
        <f t="shared" si="17"/>
        <v>64.126670356285999</v>
      </c>
      <c r="J59" s="24">
        <f t="shared" si="18"/>
        <v>131.74684026984099</v>
      </c>
      <c r="K59" s="21">
        <v>22478514.140000001</v>
      </c>
      <c r="L59" s="21">
        <v>22115889.43</v>
      </c>
      <c r="M59" s="25">
        <f t="shared" si="19"/>
        <v>1.639656913405001E-2</v>
      </c>
      <c r="N59" s="10"/>
      <c r="R59" s="2"/>
    </row>
    <row r="60" spans="1:18" ht="15.75" customHeight="1" x14ac:dyDescent="0.25">
      <c r="A60" s="177"/>
      <c r="B60" s="20">
        <f>DATE(2023,4,1)</f>
        <v>45017</v>
      </c>
      <c r="C60" s="21">
        <v>316028</v>
      </c>
      <c r="D60" s="21">
        <v>329305</v>
      </c>
      <c r="E60" s="23">
        <f t="shared" si="15"/>
        <v>-4.0318246002945597E-2</v>
      </c>
      <c r="F60" s="21">
        <f>+C60-163969</f>
        <v>152059</v>
      </c>
      <c r="G60" s="21">
        <f>+D60-168280</f>
        <v>161025</v>
      </c>
      <c r="H60" s="23">
        <f t="shared" si="16"/>
        <v>-5.5680794907623038E-2</v>
      </c>
      <c r="I60" s="24">
        <f t="shared" si="17"/>
        <v>67.113813269710278</v>
      </c>
      <c r="J60" s="24">
        <f t="shared" si="18"/>
        <v>139.48430661782598</v>
      </c>
      <c r="K60" s="21">
        <v>21209844.18</v>
      </c>
      <c r="L60" s="21">
        <v>22199173.109999999</v>
      </c>
      <c r="M60" s="25">
        <f t="shared" si="19"/>
        <v>-4.4566026180242697E-2</v>
      </c>
      <c r="N60" s="10"/>
      <c r="R60" s="2"/>
    </row>
    <row r="61" spans="1:18" ht="15.75" customHeight="1" x14ac:dyDescent="0.25">
      <c r="A61" s="177"/>
      <c r="B61" s="20">
        <f>DATE(2023,5,1)</f>
        <v>45047</v>
      </c>
      <c r="C61" s="21">
        <v>316736</v>
      </c>
      <c r="D61" s="21">
        <v>324893</v>
      </c>
      <c r="E61" s="23">
        <f t="shared" si="15"/>
        <v>-2.5106727445651338E-2</v>
      </c>
      <c r="F61" s="21">
        <f>+C61-158563</f>
        <v>158173</v>
      </c>
      <c r="G61" s="21">
        <f>+D61-166745</f>
        <v>158148</v>
      </c>
      <c r="H61" s="23">
        <f t="shared" si="16"/>
        <v>1.580797733768369E-4</v>
      </c>
      <c r="I61" s="24">
        <f t="shared" si="17"/>
        <v>69.445255891341688</v>
      </c>
      <c r="J61" s="24">
        <f t="shared" si="18"/>
        <v>139.06173980388562</v>
      </c>
      <c r="K61" s="21">
        <v>21995812.57</v>
      </c>
      <c r="L61" s="21">
        <v>20755264.91</v>
      </c>
      <c r="M61" s="25">
        <f t="shared" si="19"/>
        <v>5.9770263852536878E-2</v>
      </c>
      <c r="N61" s="10"/>
      <c r="R61" s="2"/>
    </row>
    <row r="62" spans="1:18" ht="15.75" thickBot="1" x14ac:dyDescent="0.25">
      <c r="A62" s="38"/>
      <c r="B62" s="45"/>
      <c r="C62" s="21"/>
      <c r="D62" s="21"/>
      <c r="E62" s="23"/>
      <c r="F62" s="21"/>
      <c r="G62" s="21"/>
      <c r="H62" s="23"/>
      <c r="I62" s="24"/>
      <c r="J62" s="24"/>
      <c r="K62" s="21"/>
      <c r="L62" s="21"/>
      <c r="M62" s="25"/>
      <c r="N62" s="10"/>
      <c r="R62" s="2"/>
    </row>
    <row r="63" spans="1:18" ht="17.25" thickTop="1" thickBot="1" x14ac:dyDescent="0.3">
      <c r="A63" s="39" t="s">
        <v>14</v>
      </c>
      <c r="B63" s="40"/>
      <c r="C63" s="41">
        <f>SUM(C51:C62)</f>
        <v>3388806</v>
      </c>
      <c r="D63" s="41">
        <f>SUM(D51:D62)</f>
        <v>3487614</v>
      </c>
      <c r="E63" s="280">
        <f>(+C63-D63)/D63</f>
        <v>-2.8331116918328691E-2</v>
      </c>
      <c r="F63" s="41">
        <f>SUM(F51:F62)</f>
        <v>1664853</v>
      </c>
      <c r="G63" s="41">
        <f>SUM(G51:G62)</f>
        <v>1665355</v>
      </c>
      <c r="H63" s="42">
        <f>(+F63-G63)/G63</f>
        <v>-3.0143723110087639E-4</v>
      </c>
      <c r="I63" s="43">
        <f>K63/C63</f>
        <v>65.876707138148376</v>
      </c>
      <c r="J63" s="43">
        <f>K63/F63</f>
        <v>134.09194710283731</v>
      </c>
      <c r="K63" s="41">
        <f>SUM(K51:K62)</f>
        <v>223243380.41000003</v>
      </c>
      <c r="L63" s="41">
        <f>SUM(L51:L62)</f>
        <v>216268454.44000003</v>
      </c>
      <c r="M63" s="44">
        <f>(+K63-L63)/L63</f>
        <v>3.2251240653939535E-2</v>
      </c>
      <c r="N63" s="10"/>
      <c r="R63" s="2"/>
    </row>
    <row r="64" spans="1:18" ht="15.75" thickTop="1" x14ac:dyDescent="0.2">
      <c r="A64" s="38"/>
      <c r="B64" s="45"/>
      <c r="C64" s="21"/>
      <c r="D64" s="21"/>
      <c r="E64" s="23"/>
      <c r="F64" s="21"/>
      <c r="G64" s="21"/>
      <c r="H64" s="23"/>
      <c r="I64" s="24"/>
      <c r="J64" s="24"/>
      <c r="K64" s="21"/>
      <c r="L64" s="21"/>
      <c r="M64" s="25"/>
      <c r="N64" s="10"/>
      <c r="R64" s="2"/>
    </row>
    <row r="65" spans="1:18" ht="15.75" x14ac:dyDescent="0.25">
      <c r="A65" s="19" t="s">
        <v>60</v>
      </c>
      <c r="B65" s="20">
        <f>DATE(2022,7,1)</f>
        <v>44743</v>
      </c>
      <c r="C65" s="21">
        <v>219130</v>
      </c>
      <c r="D65" s="21">
        <v>256229</v>
      </c>
      <c r="E65" s="23">
        <f t="shared" ref="E65:E75" si="20">(+C65-D65)/D65</f>
        <v>-0.14478845095598078</v>
      </c>
      <c r="F65" s="21">
        <f>+C65-103416</f>
        <v>115714</v>
      </c>
      <c r="G65" s="21">
        <f>+D65-120621</f>
        <v>135608</v>
      </c>
      <c r="H65" s="23">
        <f t="shared" ref="H65:H75" si="21">(+F65-G65)/G65</f>
        <v>-0.14670225945371954</v>
      </c>
      <c r="I65" s="24">
        <f t="shared" ref="I65:I75" si="22">K65/C65</f>
        <v>68.787062748140372</v>
      </c>
      <c r="J65" s="24">
        <f t="shared" ref="J65:J75" si="23">K65/F65</f>
        <v>130.26348635428729</v>
      </c>
      <c r="K65" s="21">
        <v>15073309.060000001</v>
      </c>
      <c r="L65" s="21">
        <v>16211316.17</v>
      </c>
      <c r="M65" s="25">
        <f t="shared" ref="M65:M75" si="24">(+K65-L65)/L65</f>
        <v>-7.0198316908157588E-2</v>
      </c>
      <c r="N65" s="10"/>
      <c r="R65" s="2"/>
    </row>
    <row r="66" spans="1:18" ht="15.75" x14ac:dyDescent="0.25">
      <c r="A66" s="19"/>
      <c r="B66" s="20">
        <f>DATE(2022,8,1)</f>
        <v>44774</v>
      </c>
      <c r="C66" s="21">
        <v>204381</v>
      </c>
      <c r="D66" s="21">
        <v>232853</v>
      </c>
      <c r="E66" s="23">
        <f t="shared" si="20"/>
        <v>-0.12227456807513754</v>
      </c>
      <c r="F66" s="21">
        <f>+C66-97907</f>
        <v>106474</v>
      </c>
      <c r="G66" s="21">
        <f>+D66-112411</f>
        <v>120442</v>
      </c>
      <c r="H66" s="23">
        <f t="shared" si="21"/>
        <v>-0.11597283339698776</v>
      </c>
      <c r="I66" s="24">
        <f t="shared" si="22"/>
        <v>74.903979968783787</v>
      </c>
      <c r="J66" s="24">
        <f t="shared" si="23"/>
        <v>143.78111398087796</v>
      </c>
      <c r="K66" s="21">
        <v>15308950.33</v>
      </c>
      <c r="L66" s="21">
        <v>13388857.550000001</v>
      </c>
      <c r="M66" s="25">
        <f t="shared" si="24"/>
        <v>0.1434097549271483</v>
      </c>
      <c r="N66" s="10"/>
      <c r="R66" s="2"/>
    </row>
    <row r="67" spans="1:18" ht="15.75" x14ac:dyDescent="0.25">
      <c r="A67" s="19"/>
      <c r="B67" s="20">
        <f>DATE(2022,9,1)</f>
        <v>44805</v>
      </c>
      <c r="C67" s="21">
        <v>195879</v>
      </c>
      <c r="D67" s="21">
        <v>224419</v>
      </c>
      <c r="E67" s="23">
        <f t="shared" si="20"/>
        <v>-0.12717283295977613</v>
      </c>
      <c r="F67" s="21">
        <f>+C67-93599</f>
        <v>102280</v>
      </c>
      <c r="G67" s="21">
        <f>+D67-105923</f>
        <v>118496</v>
      </c>
      <c r="H67" s="23">
        <f t="shared" si="21"/>
        <v>-0.1368485012152309</v>
      </c>
      <c r="I67" s="24">
        <f t="shared" si="22"/>
        <v>70.693720664287653</v>
      </c>
      <c r="J67" s="24">
        <f t="shared" si="23"/>
        <v>135.387322154869</v>
      </c>
      <c r="K67" s="21">
        <v>13847415.310000001</v>
      </c>
      <c r="L67" s="21">
        <v>14489840.68</v>
      </c>
      <c r="M67" s="25">
        <f t="shared" si="24"/>
        <v>-4.4336261811817185E-2</v>
      </c>
      <c r="N67" s="10"/>
      <c r="R67" s="2"/>
    </row>
    <row r="68" spans="1:18" ht="15.75" x14ac:dyDescent="0.25">
      <c r="A68" s="19"/>
      <c r="B68" s="20">
        <f>DATE(2022,10,1)</f>
        <v>44835</v>
      </c>
      <c r="C68" s="21">
        <v>197679</v>
      </c>
      <c r="D68" s="21">
        <v>231892</v>
      </c>
      <c r="E68" s="23">
        <f t="shared" si="20"/>
        <v>-0.14753850930605628</v>
      </c>
      <c r="F68" s="21">
        <f>+C68-94885</f>
        <v>102794</v>
      </c>
      <c r="G68" s="21">
        <f>+D68-109202</f>
        <v>122690</v>
      </c>
      <c r="H68" s="23">
        <f t="shared" si="21"/>
        <v>-0.16216480560762897</v>
      </c>
      <c r="I68" s="24">
        <f t="shared" si="22"/>
        <v>60.349407878429169</v>
      </c>
      <c r="J68" s="24">
        <f t="shared" si="23"/>
        <v>116.05551491332179</v>
      </c>
      <c r="K68" s="21">
        <v>11929810.6</v>
      </c>
      <c r="L68" s="21">
        <v>14909962.77</v>
      </c>
      <c r="M68" s="25">
        <f t="shared" si="24"/>
        <v>-0.19987656682793983</v>
      </c>
      <c r="N68" s="10"/>
      <c r="R68" s="2"/>
    </row>
    <row r="69" spans="1:18" ht="15.75" x14ac:dyDescent="0.25">
      <c r="A69" s="19"/>
      <c r="B69" s="20">
        <f>DATE(2022,11,1)</f>
        <v>44866</v>
      </c>
      <c r="C69" s="21">
        <v>191977</v>
      </c>
      <c r="D69" s="21">
        <v>219677</v>
      </c>
      <c r="E69" s="23">
        <f t="shared" si="20"/>
        <v>-0.12609422015049368</v>
      </c>
      <c r="F69" s="21">
        <f>+C69-91569</f>
        <v>100408</v>
      </c>
      <c r="G69" s="21">
        <f>+D69-102367</f>
        <v>117310</v>
      </c>
      <c r="H69" s="23">
        <f t="shared" si="21"/>
        <v>-0.14407978859432274</v>
      </c>
      <c r="I69" s="24">
        <f t="shared" si="22"/>
        <v>73.442121295780225</v>
      </c>
      <c r="J69" s="24">
        <f t="shared" si="23"/>
        <v>140.41907138873395</v>
      </c>
      <c r="K69" s="21">
        <v>14099198.119999999</v>
      </c>
      <c r="L69" s="21">
        <v>15078789.92</v>
      </c>
      <c r="M69" s="25">
        <f t="shared" si="24"/>
        <v>-6.4964881479030567E-2</v>
      </c>
      <c r="N69" s="10"/>
      <c r="R69" s="2"/>
    </row>
    <row r="70" spans="1:18" ht="15.75" x14ac:dyDescent="0.25">
      <c r="A70" s="19"/>
      <c r="B70" s="20">
        <f>DATE(2022,12,1)</f>
        <v>44896</v>
      </c>
      <c r="C70" s="21">
        <v>193245</v>
      </c>
      <c r="D70" s="21">
        <v>233380</v>
      </c>
      <c r="E70" s="23">
        <f t="shared" si="20"/>
        <v>-0.17197274830748135</v>
      </c>
      <c r="F70" s="21">
        <f>+C70-93799</f>
        <v>99446</v>
      </c>
      <c r="G70" s="21">
        <f>+D70-110272</f>
        <v>123108</v>
      </c>
      <c r="H70" s="23">
        <f t="shared" si="21"/>
        <v>-0.19220521818240893</v>
      </c>
      <c r="I70" s="24">
        <f t="shared" si="22"/>
        <v>76.366635617997872</v>
      </c>
      <c r="J70" s="24">
        <f t="shared" si="23"/>
        <v>148.39682340164512</v>
      </c>
      <c r="K70" s="21">
        <v>14757470.5</v>
      </c>
      <c r="L70" s="21">
        <v>14821041.199999999</v>
      </c>
      <c r="M70" s="25">
        <f t="shared" si="24"/>
        <v>-4.2892195725087959E-3</v>
      </c>
      <c r="N70" s="10"/>
      <c r="R70" s="2"/>
    </row>
    <row r="71" spans="1:18" ht="15.75" x14ac:dyDescent="0.25">
      <c r="A71" s="19"/>
      <c r="B71" s="20">
        <f>DATE(2023,1,1)</f>
        <v>44927</v>
      </c>
      <c r="C71" s="21">
        <v>186881</v>
      </c>
      <c r="D71" s="21">
        <v>196225</v>
      </c>
      <c r="E71" s="23">
        <f t="shared" si="20"/>
        <v>-4.7618804943304879E-2</v>
      </c>
      <c r="F71" s="21">
        <f>+C71-92185</f>
        <v>94696</v>
      </c>
      <c r="G71" s="21">
        <f>+D71-96553</f>
        <v>99672</v>
      </c>
      <c r="H71" s="23">
        <f t="shared" si="21"/>
        <v>-4.9923749899670918E-2</v>
      </c>
      <c r="I71" s="24">
        <f t="shared" si="22"/>
        <v>75.547369984107533</v>
      </c>
      <c r="J71" s="24">
        <f t="shared" si="23"/>
        <v>149.09149330489146</v>
      </c>
      <c r="K71" s="21">
        <v>14118368.050000001</v>
      </c>
      <c r="L71" s="21">
        <v>13979337.130000001</v>
      </c>
      <c r="M71" s="25">
        <f t="shared" si="24"/>
        <v>9.9454586942921749E-3</v>
      </c>
      <c r="N71" s="10"/>
      <c r="R71" s="2"/>
    </row>
    <row r="72" spans="1:18" ht="15.75" x14ac:dyDescent="0.25">
      <c r="A72" s="19"/>
      <c r="B72" s="20">
        <f>DATE(2023,2,1)</f>
        <v>44958</v>
      </c>
      <c r="C72" s="21">
        <v>182698</v>
      </c>
      <c r="D72" s="21">
        <v>198005</v>
      </c>
      <c r="E72" s="23">
        <f t="shared" si="20"/>
        <v>-7.7306128633115326E-2</v>
      </c>
      <c r="F72" s="21">
        <f>+C72-88434</f>
        <v>94264</v>
      </c>
      <c r="G72" s="21">
        <f>+D72-96853</f>
        <v>101152</v>
      </c>
      <c r="H72" s="23">
        <f t="shared" si="21"/>
        <v>-6.8095539386270165E-2</v>
      </c>
      <c r="I72" s="24">
        <f t="shared" si="22"/>
        <v>74.940197046492017</v>
      </c>
      <c r="J72" s="24">
        <f t="shared" si="23"/>
        <v>145.24552448442671</v>
      </c>
      <c r="K72" s="21">
        <v>13691424.119999999</v>
      </c>
      <c r="L72" s="21">
        <v>12112080.02</v>
      </c>
      <c r="M72" s="25">
        <f t="shared" si="24"/>
        <v>0.13039412697010894</v>
      </c>
      <c r="N72" s="10"/>
      <c r="R72" s="2"/>
    </row>
    <row r="73" spans="1:18" ht="15.75" x14ac:dyDescent="0.25">
      <c r="A73" s="19"/>
      <c r="B73" s="20">
        <f>DATE(2023,3,1)</f>
        <v>44986</v>
      </c>
      <c r="C73" s="21">
        <v>212491</v>
      </c>
      <c r="D73" s="21">
        <v>227322</v>
      </c>
      <c r="E73" s="23">
        <f t="shared" si="20"/>
        <v>-6.5242255479012148E-2</v>
      </c>
      <c r="F73" s="21">
        <f>+C73-103370</f>
        <v>109121</v>
      </c>
      <c r="G73" s="21">
        <f>+D73-110886</f>
        <v>116436</v>
      </c>
      <c r="H73" s="23">
        <f t="shared" si="21"/>
        <v>-6.2824212442887079E-2</v>
      </c>
      <c r="I73" s="24">
        <f t="shared" si="22"/>
        <v>76.918969838722589</v>
      </c>
      <c r="J73" s="24">
        <f t="shared" si="23"/>
        <v>149.78408207402791</v>
      </c>
      <c r="K73" s="21">
        <v>16344588.82</v>
      </c>
      <c r="L73" s="21">
        <v>16929937.09</v>
      </c>
      <c r="M73" s="25">
        <f t="shared" si="24"/>
        <v>-3.4574745723405374E-2</v>
      </c>
      <c r="N73" s="10"/>
      <c r="R73" s="2"/>
    </row>
    <row r="74" spans="1:18" ht="15.75" x14ac:dyDescent="0.25">
      <c r="A74" s="19"/>
      <c r="B74" s="20">
        <f>DATE(2023,4,1)</f>
        <v>45017</v>
      </c>
      <c r="C74" s="21">
        <v>192775</v>
      </c>
      <c r="D74" s="21">
        <v>220529</v>
      </c>
      <c r="E74" s="23">
        <f t="shared" si="20"/>
        <v>-0.12585192877127271</v>
      </c>
      <c r="F74" s="21">
        <f>+C74-92557</f>
        <v>100218</v>
      </c>
      <c r="G74" s="21">
        <f>+D74-106576</f>
        <v>113953</v>
      </c>
      <c r="H74" s="23">
        <f t="shared" si="21"/>
        <v>-0.12053214921941502</v>
      </c>
      <c r="I74" s="24">
        <f t="shared" si="22"/>
        <v>72.71869277655297</v>
      </c>
      <c r="J74" s="24">
        <f t="shared" si="23"/>
        <v>139.87852481590133</v>
      </c>
      <c r="K74" s="21">
        <v>14018346</v>
      </c>
      <c r="L74" s="21">
        <v>15730214.6</v>
      </c>
      <c r="M74" s="25">
        <f t="shared" si="24"/>
        <v>-0.10882677976942537</v>
      </c>
      <c r="N74" s="10"/>
      <c r="R74" s="2"/>
    </row>
    <row r="75" spans="1:18" ht="15.75" x14ac:dyDescent="0.25">
      <c r="A75" s="19"/>
      <c r="B75" s="20">
        <f>DATE(2023,5,1)</f>
        <v>45047</v>
      </c>
      <c r="C75" s="21">
        <v>198597</v>
      </c>
      <c r="D75" s="21">
        <v>211160</v>
      </c>
      <c r="E75" s="23">
        <f t="shared" si="20"/>
        <v>-5.9495169539685547E-2</v>
      </c>
      <c r="F75" s="21">
        <f>+C75-96539</f>
        <v>102058</v>
      </c>
      <c r="G75" s="21">
        <f>+D75-102141</f>
        <v>109019</v>
      </c>
      <c r="H75" s="23">
        <f t="shared" si="21"/>
        <v>-6.3851255285775871E-2</v>
      </c>
      <c r="I75" s="24">
        <f t="shared" si="22"/>
        <v>71.221161044728774</v>
      </c>
      <c r="J75" s="24">
        <f t="shared" si="23"/>
        <v>138.59088871034118</v>
      </c>
      <c r="K75" s="21">
        <v>14144308.92</v>
      </c>
      <c r="L75" s="21">
        <v>14984746.789999999</v>
      </c>
      <c r="M75" s="25">
        <f t="shared" si="24"/>
        <v>-5.6086224330521316E-2</v>
      </c>
      <c r="N75" s="10"/>
      <c r="R75" s="2"/>
    </row>
    <row r="76" spans="1:18" ht="15.75" thickBot="1" x14ac:dyDescent="0.25">
      <c r="A76" s="38"/>
      <c r="B76" s="20"/>
      <c r="C76" s="21"/>
      <c r="D76" s="21"/>
      <c r="E76" s="23"/>
      <c r="F76" s="21"/>
      <c r="G76" s="21"/>
      <c r="H76" s="23"/>
      <c r="I76" s="24"/>
      <c r="J76" s="24"/>
      <c r="K76" s="21"/>
      <c r="L76" s="21"/>
      <c r="M76" s="25"/>
      <c r="N76" s="10"/>
      <c r="R76" s="2"/>
    </row>
    <row r="77" spans="1:18" ht="17.25" thickTop="1" thickBot="1" x14ac:dyDescent="0.3">
      <c r="A77" s="39" t="s">
        <v>14</v>
      </c>
      <c r="B77" s="40"/>
      <c r="C77" s="41">
        <f>SUM(C65:C76)</f>
        <v>2175733</v>
      </c>
      <c r="D77" s="41">
        <f>SUM(D65:D76)</f>
        <v>2451691</v>
      </c>
      <c r="E77" s="281">
        <f>(+C77-D77)/D77</f>
        <v>-0.11255823021742953</v>
      </c>
      <c r="F77" s="47">
        <f>SUM(F65:F76)</f>
        <v>1127473</v>
      </c>
      <c r="G77" s="48">
        <f>SUM(G65:G76)</f>
        <v>1277886</v>
      </c>
      <c r="H77" s="49">
        <f>(+F77-G77)/G77</f>
        <v>-0.11770455267527777</v>
      </c>
      <c r="I77" s="50">
        <f>K77/C77</f>
        <v>72.312728551711075</v>
      </c>
      <c r="J77" s="51">
        <f>K77/F77</f>
        <v>139.54497343173625</v>
      </c>
      <c r="K77" s="48">
        <f>SUM(K65:K76)</f>
        <v>157333189.82999998</v>
      </c>
      <c r="L77" s="47">
        <f>SUM(L65:L76)</f>
        <v>162636123.91999999</v>
      </c>
      <c r="M77" s="44">
        <f>(+K77-L77)/L77</f>
        <v>-3.2606126868889806E-2</v>
      </c>
      <c r="N77" s="10"/>
      <c r="R77" s="2"/>
    </row>
    <row r="78" spans="1:18" ht="15.75" customHeight="1" thickTop="1" x14ac:dyDescent="0.25">
      <c r="A78" s="273"/>
      <c r="B78" s="45"/>
      <c r="C78" s="21"/>
      <c r="D78" s="21"/>
      <c r="E78" s="23"/>
      <c r="F78" s="21"/>
      <c r="G78" s="21"/>
      <c r="H78" s="23"/>
      <c r="I78" s="24"/>
      <c r="J78" s="24"/>
      <c r="K78" s="21"/>
      <c r="L78" s="21"/>
      <c r="M78" s="25"/>
      <c r="N78" s="10"/>
      <c r="R78" s="2"/>
    </row>
    <row r="79" spans="1:18" ht="15.75" x14ac:dyDescent="0.25">
      <c r="A79" s="274" t="s">
        <v>61</v>
      </c>
      <c r="B79" s="20">
        <f>DATE(2022,7,1)</f>
        <v>44743</v>
      </c>
      <c r="C79" s="21">
        <v>95268</v>
      </c>
      <c r="D79" s="21">
        <v>104293</v>
      </c>
      <c r="E79" s="23">
        <f t="shared" ref="E79:E89" si="25">(+C79-D79)/D79</f>
        <v>-8.6535050291007068E-2</v>
      </c>
      <c r="F79" s="21">
        <f>+C79-47922</f>
        <v>47346</v>
      </c>
      <c r="G79" s="21">
        <f>+D79-51816</f>
        <v>52477</v>
      </c>
      <c r="H79" s="23">
        <f t="shared" ref="H79:H89" si="26">(+F79-G79)/G79</f>
        <v>-9.7776168607199343E-2</v>
      </c>
      <c r="I79" s="24">
        <f t="shared" ref="I79:I89" si="27">K79/C79</f>
        <v>65.710942813956407</v>
      </c>
      <c r="J79" s="24">
        <f t="shared" ref="J79:J89" si="28">K79/F79</f>
        <v>132.22130908630083</v>
      </c>
      <c r="K79" s="21">
        <v>6260150.0999999996</v>
      </c>
      <c r="L79" s="21">
        <v>6473124.3399999999</v>
      </c>
      <c r="M79" s="25">
        <f t="shared" ref="M79:M89" si="29">(+K79-L79)/L79</f>
        <v>-3.2901305276023821E-2</v>
      </c>
      <c r="N79" s="10"/>
      <c r="R79" s="2"/>
    </row>
    <row r="80" spans="1:18" ht="15.75" x14ac:dyDescent="0.25">
      <c r="A80" s="274"/>
      <c r="B80" s="20">
        <f>DATE(2022,8,1)</f>
        <v>44774</v>
      </c>
      <c r="C80" s="21">
        <v>85207</v>
      </c>
      <c r="D80" s="21">
        <v>93122</v>
      </c>
      <c r="E80" s="23">
        <f t="shared" si="25"/>
        <v>-8.4996026717639228E-2</v>
      </c>
      <c r="F80" s="21">
        <f>+C80-42477</f>
        <v>42730</v>
      </c>
      <c r="G80" s="21">
        <f>+D80-46288</f>
        <v>46834</v>
      </c>
      <c r="H80" s="23">
        <f t="shared" si="26"/>
        <v>-8.7628645855575005E-2</v>
      </c>
      <c r="I80" s="24">
        <f t="shared" si="27"/>
        <v>64.139619866912341</v>
      </c>
      <c r="J80" s="24">
        <f t="shared" si="28"/>
        <v>127.8994755441142</v>
      </c>
      <c r="K80" s="21">
        <v>5465144.5899999999</v>
      </c>
      <c r="L80" s="21">
        <v>5866516.6699999999</v>
      </c>
      <c r="M80" s="25">
        <f t="shared" si="29"/>
        <v>-6.8417444725338186E-2</v>
      </c>
      <c r="N80" s="10"/>
      <c r="R80" s="2"/>
    </row>
    <row r="81" spans="1:18" ht="15.75" x14ac:dyDescent="0.25">
      <c r="A81" s="274"/>
      <c r="B81" s="20">
        <f>DATE(2022,9,1)</f>
        <v>44805</v>
      </c>
      <c r="C81" s="21">
        <v>84321</v>
      </c>
      <c r="D81" s="21">
        <v>92204</v>
      </c>
      <c r="E81" s="23">
        <f t="shared" si="25"/>
        <v>-8.5495206281723135E-2</v>
      </c>
      <c r="F81" s="21">
        <f>+C81-41917</f>
        <v>42404</v>
      </c>
      <c r="G81" s="21">
        <f>+D81-46055</f>
        <v>46149</v>
      </c>
      <c r="H81" s="23">
        <f t="shared" si="26"/>
        <v>-8.1150187436347485E-2</v>
      </c>
      <c r="I81" s="24">
        <f t="shared" si="27"/>
        <v>63.813756952597807</v>
      </c>
      <c r="J81" s="24">
        <f t="shared" si="28"/>
        <v>126.89462786529572</v>
      </c>
      <c r="K81" s="21">
        <v>5380839.7999999998</v>
      </c>
      <c r="L81" s="21">
        <v>5989167.1600000001</v>
      </c>
      <c r="M81" s="25">
        <f t="shared" si="29"/>
        <v>-0.10157127756641214</v>
      </c>
      <c r="N81" s="10"/>
      <c r="R81" s="2"/>
    </row>
    <row r="82" spans="1:18" ht="15.75" x14ac:dyDescent="0.25">
      <c r="A82" s="274"/>
      <c r="B82" s="20">
        <f>DATE(2022,10,1)</f>
        <v>44835</v>
      </c>
      <c r="C82" s="21">
        <v>85227</v>
      </c>
      <c r="D82" s="21">
        <v>93325</v>
      </c>
      <c r="E82" s="23">
        <f t="shared" si="25"/>
        <v>-8.6772033217251535E-2</v>
      </c>
      <c r="F82" s="21">
        <f>+C82-43095</f>
        <v>42132</v>
      </c>
      <c r="G82" s="21">
        <f>+D82-46461</f>
        <v>46864</v>
      </c>
      <c r="H82" s="23">
        <f t="shared" si="26"/>
        <v>-0.10097302833731649</v>
      </c>
      <c r="I82" s="24">
        <f t="shared" si="27"/>
        <v>64.750070048224146</v>
      </c>
      <c r="J82" s="24">
        <f t="shared" si="28"/>
        <v>130.98011535175164</v>
      </c>
      <c r="K82" s="21">
        <v>5518454.2199999997</v>
      </c>
      <c r="L82" s="21">
        <v>5764730.8099999996</v>
      </c>
      <c r="M82" s="25">
        <f t="shared" si="29"/>
        <v>-4.2721264551119582E-2</v>
      </c>
      <c r="N82" s="10"/>
      <c r="R82" s="2"/>
    </row>
    <row r="83" spans="1:18" ht="15.75" x14ac:dyDescent="0.25">
      <c r="A83" s="274"/>
      <c r="B83" s="20">
        <f>DATE(2022,11,1)</f>
        <v>44866</v>
      </c>
      <c r="C83" s="21">
        <v>76718</v>
      </c>
      <c r="D83" s="21">
        <v>87600</v>
      </c>
      <c r="E83" s="23">
        <f t="shared" si="25"/>
        <v>-0.12422374429223744</v>
      </c>
      <c r="F83" s="21">
        <f>+C83-38746</f>
        <v>37972</v>
      </c>
      <c r="G83" s="21">
        <f>+D83-43575</f>
        <v>44025</v>
      </c>
      <c r="H83" s="23">
        <f t="shared" si="26"/>
        <v>-0.13749006246450879</v>
      </c>
      <c r="I83" s="24">
        <f t="shared" si="27"/>
        <v>66.232644620558418</v>
      </c>
      <c r="J83" s="24">
        <f t="shared" si="28"/>
        <v>133.81533840724745</v>
      </c>
      <c r="K83" s="21">
        <v>5081236.03</v>
      </c>
      <c r="L83" s="21">
        <v>5685591.5499999998</v>
      </c>
      <c r="M83" s="25">
        <f t="shared" si="29"/>
        <v>-0.10629597899975765</v>
      </c>
      <c r="N83" s="10"/>
      <c r="R83" s="2"/>
    </row>
    <row r="84" spans="1:18" ht="15.75" x14ac:dyDescent="0.25">
      <c r="A84" s="274"/>
      <c r="B84" s="20">
        <f>DATE(2022,12,1)</f>
        <v>44896</v>
      </c>
      <c r="C84" s="21">
        <v>89653</v>
      </c>
      <c r="D84" s="21">
        <v>97815</v>
      </c>
      <c r="E84" s="23">
        <f t="shared" si="25"/>
        <v>-8.3443234677707923E-2</v>
      </c>
      <c r="F84" s="21">
        <f>+C84-45455</f>
        <v>44198</v>
      </c>
      <c r="G84" s="21">
        <f>+D84-49840</f>
        <v>47975</v>
      </c>
      <c r="H84" s="23">
        <f t="shared" si="26"/>
        <v>-7.8728504429390306E-2</v>
      </c>
      <c r="I84" s="24">
        <f t="shared" si="27"/>
        <v>61.353310095590771</v>
      </c>
      <c r="J84" s="24">
        <f t="shared" si="28"/>
        <v>124.45152065704329</v>
      </c>
      <c r="K84" s="21">
        <v>5500508.3099999996</v>
      </c>
      <c r="L84" s="21">
        <v>6306111.8899999997</v>
      </c>
      <c r="M84" s="25">
        <f t="shared" si="29"/>
        <v>-0.12774964892035878</v>
      </c>
      <c r="N84" s="10"/>
      <c r="R84" s="2"/>
    </row>
    <row r="85" spans="1:18" ht="15.75" x14ac:dyDescent="0.25">
      <c r="A85" s="274"/>
      <c r="B85" s="20">
        <f>DATE(2023,1,1)</f>
        <v>44927</v>
      </c>
      <c r="C85" s="21">
        <v>84414</v>
      </c>
      <c r="D85" s="21">
        <v>84178</v>
      </c>
      <c r="E85" s="23">
        <f t="shared" si="25"/>
        <v>2.8035828838889019E-3</v>
      </c>
      <c r="F85" s="21">
        <f>+C85-42996</f>
        <v>41418</v>
      </c>
      <c r="G85" s="21">
        <f>+D85-43196</f>
        <v>40982</v>
      </c>
      <c r="H85" s="23">
        <f t="shared" si="26"/>
        <v>1.0638817041628033E-2</v>
      </c>
      <c r="I85" s="24">
        <f t="shared" si="27"/>
        <v>62.734527448053647</v>
      </c>
      <c r="J85" s="24">
        <f t="shared" si="28"/>
        <v>127.8592013134386</v>
      </c>
      <c r="K85" s="21">
        <v>5295672.4000000004</v>
      </c>
      <c r="L85" s="21">
        <v>5555053.6900000004</v>
      </c>
      <c r="M85" s="25">
        <f t="shared" si="29"/>
        <v>-4.6692850235980347E-2</v>
      </c>
      <c r="N85" s="10"/>
      <c r="R85" s="2"/>
    </row>
    <row r="86" spans="1:18" ht="15.75" x14ac:dyDescent="0.25">
      <c r="A86" s="274"/>
      <c r="B86" s="20">
        <f>DATE(2023,2,1)</f>
        <v>44958</v>
      </c>
      <c r="C86" s="21">
        <v>89529</v>
      </c>
      <c r="D86" s="21">
        <v>86324</v>
      </c>
      <c r="E86" s="23">
        <f t="shared" si="25"/>
        <v>3.7127565914461792E-2</v>
      </c>
      <c r="F86" s="21">
        <f>+C86-46008</f>
        <v>43521</v>
      </c>
      <c r="G86" s="21">
        <f>+D86-44518</f>
        <v>41806</v>
      </c>
      <c r="H86" s="23">
        <f t="shared" si="26"/>
        <v>4.1022819690953449E-2</v>
      </c>
      <c r="I86" s="24">
        <f t="shared" si="27"/>
        <v>67.82320097398609</v>
      </c>
      <c r="J86" s="24">
        <f t="shared" si="28"/>
        <v>139.52214700948969</v>
      </c>
      <c r="K86" s="21">
        <v>6072143.3600000003</v>
      </c>
      <c r="L86" s="21">
        <v>5448548.2000000002</v>
      </c>
      <c r="M86" s="25">
        <f t="shared" si="29"/>
        <v>0.11445161850637572</v>
      </c>
      <c r="N86" s="10"/>
      <c r="R86" s="2"/>
    </row>
    <row r="87" spans="1:18" ht="15.75" x14ac:dyDescent="0.25">
      <c r="A87" s="274"/>
      <c r="B87" s="20">
        <f>DATE(2023,3,1)</f>
        <v>44986</v>
      </c>
      <c r="C87" s="21">
        <v>97318</v>
      </c>
      <c r="D87" s="21">
        <v>100361</v>
      </c>
      <c r="E87" s="23">
        <f t="shared" si="25"/>
        <v>-3.032054284034635E-2</v>
      </c>
      <c r="F87" s="21">
        <f>+C87-49664</f>
        <v>47654</v>
      </c>
      <c r="G87" s="21">
        <f>+D87-50984</f>
        <v>49377</v>
      </c>
      <c r="H87" s="23">
        <f t="shared" si="26"/>
        <v>-3.4894789071835068E-2</v>
      </c>
      <c r="I87" s="24">
        <f t="shared" si="27"/>
        <v>67.18391808298567</v>
      </c>
      <c r="J87" s="24">
        <f t="shared" si="28"/>
        <v>137.20158937339991</v>
      </c>
      <c r="K87" s="21">
        <v>6538204.54</v>
      </c>
      <c r="L87" s="21">
        <v>6763668.5800000001</v>
      </c>
      <c r="M87" s="25">
        <f t="shared" si="29"/>
        <v>-3.3334578318442686E-2</v>
      </c>
      <c r="N87" s="10"/>
      <c r="R87" s="2"/>
    </row>
    <row r="88" spans="1:18" ht="15.75" x14ac:dyDescent="0.25">
      <c r="A88" s="274"/>
      <c r="B88" s="20">
        <f>DATE(2023,4,1)</f>
        <v>45017</v>
      </c>
      <c r="C88" s="21">
        <v>86401</v>
      </c>
      <c r="D88" s="21">
        <v>97194</v>
      </c>
      <c r="E88" s="23">
        <f t="shared" si="25"/>
        <v>-0.11104594933843653</v>
      </c>
      <c r="F88" s="21">
        <f>+C88-43603</f>
        <v>42798</v>
      </c>
      <c r="G88" s="21">
        <f>+D88-49512</f>
        <v>47682</v>
      </c>
      <c r="H88" s="23">
        <f t="shared" si="26"/>
        <v>-0.10242858940480684</v>
      </c>
      <c r="I88" s="24">
        <f t="shared" si="27"/>
        <v>66.993180055786397</v>
      </c>
      <c r="J88" s="24">
        <f t="shared" si="28"/>
        <v>135.24645427356418</v>
      </c>
      <c r="K88" s="21">
        <v>5788277.75</v>
      </c>
      <c r="L88" s="21">
        <v>6372481.04</v>
      </c>
      <c r="M88" s="25">
        <f t="shared" si="29"/>
        <v>-9.1675955774989645E-2</v>
      </c>
      <c r="N88" s="10"/>
      <c r="R88" s="2"/>
    </row>
    <row r="89" spans="1:18" ht="15.75" x14ac:dyDescent="0.25">
      <c r="A89" s="274"/>
      <c r="B89" s="20">
        <f>DATE(2023,5,1)</f>
        <v>45047</v>
      </c>
      <c r="C89" s="21">
        <v>85077</v>
      </c>
      <c r="D89" s="21">
        <v>92856</v>
      </c>
      <c r="E89" s="23">
        <f t="shared" si="25"/>
        <v>-8.3774877229258207E-2</v>
      </c>
      <c r="F89" s="21">
        <f>+C89-42450</f>
        <v>42627</v>
      </c>
      <c r="G89" s="21">
        <f>+D89-46813</f>
        <v>46043</v>
      </c>
      <c r="H89" s="23">
        <f t="shared" si="26"/>
        <v>-7.4191516625762871E-2</v>
      </c>
      <c r="I89" s="24">
        <f t="shared" si="27"/>
        <v>66.654682934283059</v>
      </c>
      <c r="J89" s="24">
        <f t="shared" si="28"/>
        <v>133.03259577263236</v>
      </c>
      <c r="K89" s="21">
        <v>5670780.46</v>
      </c>
      <c r="L89" s="21">
        <v>6009631.9000000004</v>
      </c>
      <c r="M89" s="25">
        <f t="shared" si="29"/>
        <v>-5.6384724661755141E-2</v>
      </c>
      <c r="N89" s="10"/>
      <c r="R89" s="2"/>
    </row>
    <row r="90" spans="1:18" ht="15.75" customHeight="1" thickBot="1" x14ac:dyDescent="0.3">
      <c r="A90" s="19"/>
      <c r="B90" s="20"/>
      <c r="C90" s="21"/>
      <c r="D90" s="21"/>
      <c r="E90" s="23"/>
      <c r="F90" s="21"/>
      <c r="G90" s="21"/>
      <c r="H90" s="23"/>
      <c r="I90" s="24"/>
      <c r="J90" s="24"/>
      <c r="K90" s="21"/>
      <c r="L90" s="21"/>
      <c r="M90" s="25"/>
      <c r="N90" s="10"/>
      <c r="R90" s="2"/>
    </row>
    <row r="91" spans="1:18" ht="17.45" customHeight="1" thickTop="1" thickBot="1" x14ac:dyDescent="0.3">
      <c r="A91" s="39" t="s">
        <v>14</v>
      </c>
      <c r="B91" s="52"/>
      <c r="C91" s="47">
        <f>SUM(C79:C90)</f>
        <v>959133</v>
      </c>
      <c r="D91" s="48">
        <f>SUM(D79:D90)</f>
        <v>1029272</v>
      </c>
      <c r="E91" s="281">
        <f>(+C91-D91)/D91</f>
        <v>-6.8144280617757014E-2</v>
      </c>
      <c r="F91" s="48">
        <f>SUM(F79:F90)</f>
        <v>474800</v>
      </c>
      <c r="G91" s="47">
        <f>SUM(G79:G90)</f>
        <v>510214</v>
      </c>
      <c r="H91" s="46">
        <f>(+F91-G91)/G91</f>
        <v>-6.9410090667837418E-2</v>
      </c>
      <c r="I91" s="51">
        <f>K91/C91</f>
        <v>65.237471299600784</v>
      </c>
      <c r="J91" s="50">
        <f>K91/F91</f>
        <v>131.78477582139848</v>
      </c>
      <c r="K91" s="47">
        <f>SUM(K79:K90)</f>
        <v>62571411.559999995</v>
      </c>
      <c r="L91" s="48">
        <f>SUM(L79:L90)</f>
        <v>66234625.829999998</v>
      </c>
      <c r="M91" s="44">
        <f>(+K91-L91)/L91</f>
        <v>-5.5306634922376273E-2</v>
      </c>
      <c r="N91" s="10"/>
      <c r="R91" s="2"/>
    </row>
    <row r="92" spans="1:18" ht="15.75" customHeight="1" thickTop="1" x14ac:dyDescent="0.25">
      <c r="A92" s="19"/>
      <c r="B92" s="45"/>
      <c r="C92" s="21"/>
      <c r="D92" s="21"/>
      <c r="E92" s="23"/>
      <c r="F92" s="21"/>
      <c r="G92" s="21"/>
      <c r="H92" s="23"/>
      <c r="I92" s="24"/>
      <c r="J92" s="24"/>
      <c r="K92" s="21"/>
      <c r="L92" s="21"/>
      <c r="M92" s="25"/>
      <c r="N92" s="10"/>
      <c r="R92" s="2"/>
    </row>
    <row r="93" spans="1:18" ht="15.75" x14ac:dyDescent="0.25">
      <c r="A93" s="19" t="s">
        <v>67</v>
      </c>
      <c r="B93" s="20">
        <f>DATE(2022,7,1)</f>
        <v>44743</v>
      </c>
      <c r="C93" s="21">
        <v>220596</v>
      </c>
      <c r="D93" s="21">
        <v>224693</v>
      </c>
      <c r="E93" s="23">
        <f t="shared" ref="E93:E103" si="30">(+C93-D93)/D93</f>
        <v>-1.8233767852136026E-2</v>
      </c>
      <c r="F93" s="21">
        <f>+C93-105104</f>
        <v>115492</v>
      </c>
      <c r="G93" s="21">
        <f>+D93-121301</f>
        <v>103392</v>
      </c>
      <c r="H93" s="23">
        <f t="shared" ref="H93:H103" si="31">(+F93-G93)/G93</f>
        <v>0.11703033116682142</v>
      </c>
      <c r="I93" s="24">
        <f t="shared" ref="I93:I103" si="32">K93/C93</f>
        <v>48.082389617218809</v>
      </c>
      <c r="J93" s="24">
        <f t="shared" ref="J93:J103" si="33">K93/F93</f>
        <v>91.839978699823362</v>
      </c>
      <c r="K93" s="21">
        <v>10606782.82</v>
      </c>
      <c r="L93" s="21">
        <v>9513693.5700000003</v>
      </c>
      <c r="M93" s="25">
        <f t="shared" ref="M93:M103" si="34">(+K93-L93)/L93</f>
        <v>0.11489641136297392</v>
      </c>
      <c r="N93" s="10"/>
      <c r="R93" s="2"/>
    </row>
    <row r="94" spans="1:18" ht="15.75" x14ac:dyDescent="0.25">
      <c r="A94" s="19"/>
      <c r="B94" s="20">
        <f>DATE(2022,8,1)</f>
        <v>44774</v>
      </c>
      <c r="C94" s="21">
        <v>204208</v>
      </c>
      <c r="D94" s="21">
        <v>253687</v>
      </c>
      <c r="E94" s="23">
        <f t="shared" si="30"/>
        <v>-0.19503955661898323</v>
      </c>
      <c r="F94" s="21">
        <f>+C94-95602</f>
        <v>108606</v>
      </c>
      <c r="G94" s="21">
        <f>+D94-139919</f>
        <v>113768</v>
      </c>
      <c r="H94" s="23">
        <f t="shared" si="31"/>
        <v>-4.5373039870613883E-2</v>
      </c>
      <c r="I94" s="24">
        <f t="shared" si="32"/>
        <v>50.441069742615376</v>
      </c>
      <c r="J94" s="24">
        <f t="shared" si="33"/>
        <v>94.842549859123807</v>
      </c>
      <c r="K94" s="21">
        <v>10300469.970000001</v>
      </c>
      <c r="L94" s="21">
        <v>9470339.9399999995</v>
      </c>
      <c r="M94" s="25">
        <f t="shared" si="34"/>
        <v>8.7655779545332907E-2</v>
      </c>
      <c r="N94" s="10"/>
      <c r="R94" s="2"/>
    </row>
    <row r="95" spans="1:18" ht="15.75" x14ac:dyDescent="0.25">
      <c r="A95" s="19"/>
      <c r="B95" s="20">
        <f>DATE(2022,9,1)</f>
        <v>44805</v>
      </c>
      <c r="C95" s="21">
        <v>202639</v>
      </c>
      <c r="D95" s="21">
        <v>235488</v>
      </c>
      <c r="E95" s="23">
        <f t="shared" si="30"/>
        <v>-0.13949330751460795</v>
      </c>
      <c r="F95" s="21">
        <f>+C95-96056</f>
        <v>106583</v>
      </c>
      <c r="G95" s="21">
        <f>+D95-117319</f>
        <v>118169</v>
      </c>
      <c r="H95" s="23">
        <f t="shared" si="31"/>
        <v>-9.8046018837427751E-2</v>
      </c>
      <c r="I95" s="24">
        <f t="shared" si="32"/>
        <v>48.50680421833902</v>
      </c>
      <c r="J95" s="24">
        <f t="shared" si="33"/>
        <v>92.222683730050761</v>
      </c>
      <c r="K95" s="21">
        <v>9829370.3000000007</v>
      </c>
      <c r="L95" s="21">
        <v>10050706.73</v>
      </c>
      <c r="M95" s="25">
        <f t="shared" si="34"/>
        <v>-2.2021976757051361E-2</v>
      </c>
      <c r="N95" s="10"/>
      <c r="R95" s="2"/>
    </row>
    <row r="96" spans="1:18" ht="15.75" x14ac:dyDescent="0.25">
      <c r="A96" s="19"/>
      <c r="B96" s="20">
        <f>DATE(2022,10,1)</f>
        <v>44835</v>
      </c>
      <c r="C96" s="21">
        <v>197805</v>
      </c>
      <c r="D96" s="21">
        <v>221802</v>
      </c>
      <c r="E96" s="23">
        <f t="shared" si="30"/>
        <v>-0.10819108934996077</v>
      </c>
      <c r="F96" s="21">
        <f>+C96-92993</f>
        <v>104812</v>
      </c>
      <c r="G96" s="21">
        <f>+D96-108914</f>
        <v>112888</v>
      </c>
      <c r="H96" s="23">
        <f t="shared" si="31"/>
        <v>-7.1539933385302248E-2</v>
      </c>
      <c r="I96" s="24">
        <f t="shared" si="32"/>
        <v>52.670724299183533</v>
      </c>
      <c r="J96" s="24">
        <f t="shared" si="33"/>
        <v>99.402097278937518</v>
      </c>
      <c r="K96" s="21">
        <v>10418532.619999999</v>
      </c>
      <c r="L96" s="21">
        <v>10399038.17</v>
      </c>
      <c r="M96" s="25">
        <f t="shared" si="34"/>
        <v>1.8746397196846962E-3</v>
      </c>
      <c r="N96" s="10"/>
      <c r="R96" s="2"/>
    </row>
    <row r="97" spans="1:18" ht="15.75" x14ac:dyDescent="0.25">
      <c r="A97" s="19"/>
      <c r="B97" s="20">
        <f>DATE(2022,11,1)</f>
        <v>44866</v>
      </c>
      <c r="C97" s="21">
        <v>202426</v>
      </c>
      <c r="D97" s="21">
        <v>202081</v>
      </c>
      <c r="E97" s="23">
        <f t="shared" si="30"/>
        <v>1.7072362072634241E-3</v>
      </c>
      <c r="F97" s="21">
        <f>+C97-94010</f>
        <v>108416</v>
      </c>
      <c r="G97" s="21">
        <f>+D97-97991</f>
        <v>104090</v>
      </c>
      <c r="H97" s="23">
        <f t="shared" si="31"/>
        <v>4.1560188298587764E-2</v>
      </c>
      <c r="I97" s="24">
        <f t="shared" si="32"/>
        <v>52.038107011945101</v>
      </c>
      <c r="J97" s="24">
        <f t="shared" si="33"/>
        <v>97.161543037927984</v>
      </c>
      <c r="K97" s="21">
        <v>10533865.85</v>
      </c>
      <c r="L97" s="21">
        <v>9591289.6799999997</v>
      </c>
      <c r="M97" s="25">
        <f t="shared" si="34"/>
        <v>9.8274184332632936E-2</v>
      </c>
      <c r="N97" s="10"/>
      <c r="R97" s="2"/>
    </row>
    <row r="98" spans="1:18" ht="15.75" x14ac:dyDescent="0.25">
      <c r="A98" s="19"/>
      <c r="B98" s="20">
        <f>DATE(2022,12,1)</f>
        <v>44896</v>
      </c>
      <c r="C98" s="21">
        <v>223223</v>
      </c>
      <c r="D98" s="21">
        <v>205858</v>
      </c>
      <c r="E98" s="23">
        <f t="shared" si="30"/>
        <v>8.4354263618610884E-2</v>
      </c>
      <c r="F98" s="21">
        <f>+C98-104081</f>
        <v>119142</v>
      </c>
      <c r="G98" s="21">
        <f>+D98-97374</f>
        <v>108484</v>
      </c>
      <c r="H98" s="23">
        <f t="shared" si="31"/>
        <v>9.8244902474097562E-2</v>
      </c>
      <c r="I98" s="24">
        <f t="shared" si="32"/>
        <v>47.766320809235609</v>
      </c>
      <c r="J98" s="24">
        <f t="shared" si="33"/>
        <v>89.494396854174013</v>
      </c>
      <c r="K98" s="21">
        <v>10662541.43</v>
      </c>
      <c r="L98" s="21">
        <v>10189799.08</v>
      </c>
      <c r="M98" s="25">
        <f t="shared" si="34"/>
        <v>4.6393687087302182E-2</v>
      </c>
      <c r="N98" s="10"/>
      <c r="R98" s="2"/>
    </row>
    <row r="99" spans="1:18" ht="15.75" x14ac:dyDescent="0.25">
      <c r="A99" s="19"/>
      <c r="B99" s="20">
        <f>DATE(2023,1,1)</f>
        <v>44927</v>
      </c>
      <c r="C99" s="21">
        <v>215124</v>
      </c>
      <c r="D99" s="21">
        <v>179199</v>
      </c>
      <c r="E99" s="23">
        <f t="shared" si="30"/>
        <v>0.20047544908174711</v>
      </c>
      <c r="F99" s="21">
        <f>+C99-101475</f>
        <v>113649</v>
      </c>
      <c r="G99" s="21">
        <f>+D99-85727</f>
        <v>93472</v>
      </c>
      <c r="H99" s="23">
        <f t="shared" si="31"/>
        <v>0.21586143444026018</v>
      </c>
      <c r="I99" s="24">
        <f t="shared" si="32"/>
        <v>50.618131635707776</v>
      </c>
      <c r="J99" s="24">
        <f t="shared" si="33"/>
        <v>95.814085033744234</v>
      </c>
      <c r="K99" s="21">
        <v>10889174.949999999</v>
      </c>
      <c r="L99" s="21">
        <v>9122057.7699999996</v>
      </c>
      <c r="M99" s="25">
        <f t="shared" si="34"/>
        <v>0.19371913931652285</v>
      </c>
      <c r="N99" s="10"/>
      <c r="R99" s="2"/>
    </row>
    <row r="100" spans="1:18" ht="15.75" x14ac:dyDescent="0.25">
      <c r="A100" s="19"/>
      <c r="B100" s="20">
        <f>DATE(2023,2,1)</f>
        <v>44958</v>
      </c>
      <c r="C100" s="21">
        <v>200796</v>
      </c>
      <c r="D100" s="21">
        <v>184738</v>
      </c>
      <c r="E100" s="23">
        <f t="shared" si="30"/>
        <v>8.692310190648378E-2</v>
      </c>
      <c r="F100" s="21">
        <f>+C100-95531</f>
        <v>105265</v>
      </c>
      <c r="G100" s="21">
        <f>+D100-91368</f>
        <v>93370</v>
      </c>
      <c r="H100" s="23">
        <f t="shared" si="31"/>
        <v>0.12739637999357395</v>
      </c>
      <c r="I100" s="24">
        <f t="shared" si="32"/>
        <v>51.483439012729335</v>
      </c>
      <c r="J100" s="24">
        <f t="shared" si="33"/>
        <v>98.206133282667551</v>
      </c>
      <c r="K100" s="21">
        <v>10337668.619999999</v>
      </c>
      <c r="L100" s="21">
        <v>9241774.3399999999</v>
      </c>
      <c r="M100" s="25">
        <f t="shared" si="34"/>
        <v>0.11858050626239369</v>
      </c>
      <c r="N100" s="10"/>
      <c r="R100" s="2"/>
    </row>
    <row r="101" spans="1:18" ht="15.75" x14ac:dyDescent="0.25">
      <c r="A101" s="19"/>
      <c r="B101" s="20">
        <f>DATE(2023,3,1)</f>
        <v>44986</v>
      </c>
      <c r="C101" s="21">
        <v>225404</v>
      </c>
      <c r="D101" s="21">
        <v>215256</v>
      </c>
      <c r="E101" s="23">
        <f t="shared" si="30"/>
        <v>4.7143865908499644E-2</v>
      </c>
      <c r="F101" s="21">
        <f>+C101-108230</f>
        <v>117174</v>
      </c>
      <c r="G101" s="21">
        <f>+D101-103637</f>
        <v>111619</v>
      </c>
      <c r="H101" s="23">
        <f t="shared" si="31"/>
        <v>4.976751269945081E-2</v>
      </c>
      <c r="I101" s="24">
        <f t="shared" si="32"/>
        <v>51.344576227573597</v>
      </c>
      <c r="J101" s="24">
        <f t="shared" si="33"/>
        <v>98.769973372932554</v>
      </c>
      <c r="K101" s="21">
        <v>11573272.859999999</v>
      </c>
      <c r="L101" s="21">
        <v>11149265.039999999</v>
      </c>
      <c r="M101" s="25">
        <f t="shared" si="34"/>
        <v>3.8030113956282835E-2</v>
      </c>
      <c r="N101" s="10"/>
      <c r="R101" s="2"/>
    </row>
    <row r="102" spans="1:18" ht="15.75" x14ac:dyDescent="0.25">
      <c r="A102" s="19"/>
      <c r="B102" s="20">
        <f>DATE(2023,4,1)</f>
        <v>45017</v>
      </c>
      <c r="C102" s="21">
        <v>208441</v>
      </c>
      <c r="D102" s="21">
        <v>212913</v>
      </c>
      <c r="E102" s="23">
        <f t="shared" si="30"/>
        <v>-2.1003884215618586E-2</v>
      </c>
      <c r="F102" s="21">
        <f>+C102-100216</f>
        <v>108225</v>
      </c>
      <c r="G102" s="21">
        <f>+D102-100552</f>
        <v>112361</v>
      </c>
      <c r="H102" s="23">
        <f t="shared" si="31"/>
        <v>-3.6809925151965538E-2</v>
      </c>
      <c r="I102" s="24">
        <f t="shared" si="32"/>
        <v>53.697121919392053</v>
      </c>
      <c r="J102" s="24">
        <f t="shared" si="33"/>
        <v>103.42048316008315</v>
      </c>
      <c r="K102" s="21">
        <v>11192681.789999999</v>
      </c>
      <c r="L102" s="21">
        <v>11145700.16</v>
      </c>
      <c r="M102" s="25">
        <f t="shared" si="34"/>
        <v>4.2152246449808457E-3</v>
      </c>
      <c r="N102" s="10"/>
      <c r="R102" s="2"/>
    </row>
    <row r="103" spans="1:18" ht="15.75" x14ac:dyDescent="0.25">
      <c r="A103" s="19"/>
      <c r="B103" s="20">
        <f>DATE(2023,5,1)</f>
        <v>45047</v>
      </c>
      <c r="C103" s="21">
        <v>209950</v>
      </c>
      <c r="D103" s="21">
        <v>213808</v>
      </c>
      <c r="E103" s="23">
        <f t="shared" si="30"/>
        <v>-1.8044226595824289E-2</v>
      </c>
      <c r="F103" s="21">
        <f>+C103-98229</f>
        <v>111721</v>
      </c>
      <c r="G103" s="21">
        <f>+D103-99001</f>
        <v>114807</v>
      </c>
      <c r="H103" s="23">
        <f t="shared" si="31"/>
        <v>-2.68798940831134E-2</v>
      </c>
      <c r="I103" s="24">
        <f t="shared" si="32"/>
        <v>51.263212622052869</v>
      </c>
      <c r="J103" s="24">
        <f t="shared" si="33"/>
        <v>96.335617207149951</v>
      </c>
      <c r="K103" s="21">
        <v>10762711.49</v>
      </c>
      <c r="L103" s="21">
        <v>10538183.630000001</v>
      </c>
      <c r="M103" s="25">
        <f t="shared" si="34"/>
        <v>2.1306125218848497E-2</v>
      </c>
      <c r="N103" s="10"/>
      <c r="R103" s="2"/>
    </row>
    <row r="104" spans="1:18" ht="15.75" customHeight="1" thickBot="1" x14ac:dyDescent="0.3">
      <c r="A104" s="19"/>
      <c r="B104" s="45"/>
      <c r="C104" s="21"/>
      <c r="D104" s="21"/>
      <c r="E104" s="23"/>
      <c r="F104" s="21"/>
      <c r="G104" s="21"/>
      <c r="H104" s="23"/>
      <c r="I104" s="24"/>
      <c r="J104" s="24"/>
      <c r="K104" s="21"/>
      <c r="L104" s="21"/>
      <c r="M104" s="25"/>
      <c r="N104" s="10"/>
      <c r="R104" s="2"/>
    </row>
    <row r="105" spans="1:18" ht="17.45" customHeight="1" thickTop="1" thickBot="1" x14ac:dyDescent="0.3">
      <c r="A105" s="39" t="s">
        <v>14</v>
      </c>
      <c r="B105" s="52"/>
      <c r="C105" s="47">
        <f>SUM(C93:C104)</f>
        <v>2310612</v>
      </c>
      <c r="D105" s="48">
        <f>SUM(D93:D104)</f>
        <v>2349523</v>
      </c>
      <c r="E105" s="281">
        <f>(+C105-D105)/D105</f>
        <v>-1.6561233918544319E-2</v>
      </c>
      <c r="F105" s="48">
        <f>SUM(F93:F104)</f>
        <v>1219085</v>
      </c>
      <c r="G105" s="47">
        <f>SUM(G93:G104)</f>
        <v>1186420</v>
      </c>
      <c r="H105" s="53">
        <f>(+F105-G105)/G105</f>
        <v>2.7532408421975355E-2</v>
      </c>
      <c r="I105" s="51">
        <f>K105/C105</f>
        <v>50.682274955726015</v>
      </c>
      <c r="J105" s="50">
        <f>K105/F105</f>
        <v>96.061449939913956</v>
      </c>
      <c r="K105" s="47">
        <f>SUM(K93:K104)</f>
        <v>117107072.7</v>
      </c>
      <c r="L105" s="48">
        <f>SUM(L93:L104)</f>
        <v>110411848.10999998</v>
      </c>
      <c r="M105" s="44">
        <f>(+K105-L105)/L105</f>
        <v>6.0638642542508378E-2</v>
      </c>
      <c r="N105" s="10"/>
      <c r="R105" s="2"/>
    </row>
    <row r="106" spans="1:18" ht="15.75" customHeight="1" thickTop="1" x14ac:dyDescent="0.25">
      <c r="A106" s="19"/>
      <c r="B106" s="45"/>
      <c r="C106" s="21"/>
      <c r="D106" s="21"/>
      <c r="E106" s="23"/>
      <c r="F106" s="21"/>
      <c r="G106" s="21"/>
      <c r="H106" s="23"/>
      <c r="I106" s="24"/>
      <c r="J106" s="24"/>
      <c r="K106" s="21"/>
      <c r="L106" s="21"/>
      <c r="M106" s="25"/>
      <c r="N106" s="10"/>
      <c r="R106" s="2"/>
    </row>
    <row r="107" spans="1:18" ht="15.75" customHeight="1" x14ac:dyDescent="0.25">
      <c r="A107" s="19" t="s">
        <v>69</v>
      </c>
      <c r="B107" s="20">
        <f>DATE(2022,7,1)</f>
        <v>44743</v>
      </c>
      <c r="C107" s="21">
        <v>226300</v>
      </c>
      <c r="D107" s="21">
        <v>251090</v>
      </c>
      <c r="E107" s="23">
        <f t="shared" ref="E107:E117" si="35">(+C107-D107)/D107</f>
        <v>-9.8729539209048547E-2</v>
      </c>
      <c r="F107" s="21">
        <f>+C107-105791</f>
        <v>120509</v>
      </c>
      <c r="G107" s="21">
        <f>+D107-113536</f>
        <v>137554</v>
      </c>
      <c r="H107" s="23">
        <f t="shared" ref="H107:H117" si="36">(+F107-G107)/G107</f>
        <v>-0.12391497157479972</v>
      </c>
      <c r="I107" s="24">
        <f t="shared" ref="I107:I117" si="37">K107/C107</f>
        <v>58.190034202386215</v>
      </c>
      <c r="J107" s="24">
        <f t="shared" ref="J107:J117" si="38">K107/F107</f>
        <v>109.27320565268984</v>
      </c>
      <c r="K107" s="21">
        <v>13168404.74</v>
      </c>
      <c r="L107" s="21">
        <v>14822103.82</v>
      </c>
      <c r="M107" s="25">
        <f t="shared" ref="M107:M117" si="39">(+K107-L107)/L107</f>
        <v>-0.111569794685192</v>
      </c>
      <c r="N107" s="10"/>
      <c r="R107" s="2"/>
    </row>
    <row r="108" spans="1:18" ht="15.75" customHeight="1" x14ac:dyDescent="0.25">
      <c r="A108" s="19"/>
      <c r="B108" s="20">
        <f>DATE(2022,8,1)</f>
        <v>44774</v>
      </c>
      <c r="C108" s="21">
        <v>232585</v>
      </c>
      <c r="D108" s="21">
        <v>215479</v>
      </c>
      <c r="E108" s="23">
        <f t="shared" si="35"/>
        <v>7.9385926238751806E-2</v>
      </c>
      <c r="F108" s="21">
        <f>+C108-107552</f>
        <v>125033</v>
      </c>
      <c r="G108" s="21">
        <f>+D108-96518</f>
        <v>118961</v>
      </c>
      <c r="H108" s="23">
        <f t="shared" si="36"/>
        <v>5.1041938114171868E-2</v>
      </c>
      <c r="I108" s="24">
        <f t="shared" si="37"/>
        <v>59.882285830986518</v>
      </c>
      <c r="J108" s="24">
        <f t="shared" si="38"/>
        <v>111.3923640158998</v>
      </c>
      <c r="K108" s="21">
        <v>13927721.449999999</v>
      </c>
      <c r="L108" s="21">
        <v>13122626.66</v>
      </c>
      <c r="M108" s="25">
        <f t="shared" si="39"/>
        <v>6.1351649396082043E-2</v>
      </c>
      <c r="N108" s="10"/>
      <c r="R108" s="2"/>
    </row>
    <row r="109" spans="1:18" ht="15.75" customHeight="1" x14ac:dyDescent="0.25">
      <c r="A109" s="19"/>
      <c r="B109" s="20">
        <f>DATE(2022,9,1)</f>
        <v>44805</v>
      </c>
      <c r="C109" s="21">
        <v>229799</v>
      </c>
      <c r="D109" s="21">
        <v>213931</v>
      </c>
      <c r="E109" s="23">
        <f t="shared" si="35"/>
        <v>7.4173448448331472E-2</v>
      </c>
      <c r="F109" s="21">
        <f>+C109-107359</f>
        <v>122440</v>
      </c>
      <c r="G109" s="21">
        <f>+D109-98283</f>
        <v>115648</v>
      </c>
      <c r="H109" s="23">
        <f t="shared" si="36"/>
        <v>5.8729939125622577E-2</v>
      </c>
      <c r="I109" s="24">
        <f t="shared" si="37"/>
        <v>58.842503709763747</v>
      </c>
      <c r="J109" s="24">
        <f t="shared" si="38"/>
        <v>110.43734490362627</v>
      </c>
      <c r="K109" s="21">
        <v>13521948.51</v>
      </c>
      <c r="L109" s="21">
        <v>12121290.84</v>
      </c>
      <c r="M109" s="25">
        <f t="shared" si="39"/>
        <v>0.1155535073358573</v>
      </c>
      <c r="N109" s="10"/>
      <c r="R109" s="2"/>
    </row>
    <row r="110" spans="1:18" ht="15.75" customHeight="1" x14ac:dyDescent="0.25">
      <c r="A110" s="19"/>
      <c r="B110" s="20">
        <f>DATE(2022,10,1)</f>
        <v>44835</v>
      </c>
      <c r="C110" s="21">
        <v>212700</v>
      </c>
      <c r="D110" s="21">
        <v>212915</v>
      </c>
      <c r="E110" s="23">
        <f t="shared" si="35"/>
        <v>-1.009792640255501E-3</v>
      </c>
      <c r="F110" s="21">
        <f>+C110-99072</f>
        <v>113628</v>
      </c>
      <c r="G110" s="21">
        <f>+D110-99053</f>
        <v>113862</v>
      </c>
      <c r="H110" s="23">
        <f t="shared" si="36"/>
        <v>-2.0551193550086945E-3</v>
      </c>
      <c r="I110" s="24">
        <f t="shared" si="37"/>
        <v>60.887781805359658</v>
      </c>
      <c r="J110" s="24">
        <f t="shared" si="38"/>
        <v>113.97570308374696</v>
      </c>
      <c r="K110" s="21">
        <v>12950831.189999999</v>
      </c>
      <c r="L110" s="21">
        <v>12831260.619999999</v>
      </c>
      <c r="M110" s="25">
        <f t="shared" si="39"/>
        <v>9.3186923359366933E-3</v>
      </c>
      <c r="N110" s="10"/>
      <c r="R110" s="2"/>
    </row>
    <row r="111" spans="1:18" ht="15.75" customHeight="1" x14ac:dyDescent="0.25">
      <c r="A111" s="19"/>
      <c r="B111" s="20">
        <f>DATE(2022,11,1)</f>
        <v>44866</v>
      </c>
      <c r="C111" s="21">
        <v>191508</v>
      </c>
      <c r="D111" s="21">
        <v>184421</v>
      </c>
      <c r="E111" s="23">
        <f t="shared" si="35"/>
        <v>3.8428378546911689E-2</v>
      </c>
      <c r="F111" s="21">
        <f>+C111-91306</f>
        <v>100202</v>
      </c>
      <c r="G111" s="21">
        <f>+D111-84660</f>
        <v>99761</v>
      </c>
      <c r="H111" s="23">
        <f t="shared" si="36"/>
        <v>4.4205651507101974E-3</v>
      </c>
      <c r="I111" s="24">
        <f t="shared" si="37"/>
        <v>61.98403789920004</v>
      </c>
      <c r="J111" s="24">
        <f t="shared" si="38"/>
        <v>118.46509181453465</v>
      </c>
      <c r="K111" s="21">
        <v>11870439.130000001</v>
      </c>
      <c r="L111" s="21">
        <v>11874815.390000001</v>
      </c>
      <c r="M111" s="25">
        <f t="shared" si="39"/>
        <v>-3.6853288714577451E-4</v>
      </c>
      <c r="N111" s="10"/>
      <c r="R111" s="2"/>
    </row>
    <row r="112" spans="1:18" ht="15.75" customHeight="1" x14ac:dyDescent="0.25">
      <c r="A112" s="19"/>
      <c r="B112" s="20">
        <f>DATE(2022,12,1)</f>
        <v>44896</v>
      </c>
      <c r="C112" s="21">
        <v>214147</v>
      </c>
      <c r="D112" s="21">
        <v>211464</v>
      </c>
      <c r="E112" s="23">
        <f t="shared" si="35"/>
        <v>1.2687738811334316E-2</v>
      </c>
      <c r="F112" s="21">
        <f>+C112-102215</f>
        <v>111932</v>
      </c>
      <c r="G112" s="21">
        <f>+D112-97323</f>
        <v>114141</v>
      </c>
      <c r="H112" s="23">
        <f t="shared" si="36"/>
        <v>-1.9353256060486591E-2</v>
      </c>
      <c r="I112" s="24">
        <f t="shared" si="37"/>
        <v>60.966842963011388</v>
      </c>
      <c r="J112" s="24">
        <f t="shared" si="38"/>
        <v>116.64105456884536</v>
      </c>
      <c r="K112" s="21">
        <v>13055866.52</v>
      </c>
      <c r="L112" s="21">
        <v>12543331.57</v>
      </c>
      <c r="M112" s="25">
        <f t="shared" si="39"/>
        <v>4.0861149778248208E-2</v>
      </c>
      <c r="N112" s="10"/>
      <c r="R112" s="2"/>
    </row>
    <row r="113" spans="1:18" ht="15.75" customHeight="1" x14ac:dyDescent="0.25">
      <c r="A113" s="19"/>
      <c r="B113" s="20">
        <f>DATE(2023,1,1)</f>
        <v>44927</v>
      </c>
      <c r="C113" s="21">
        <v>203689</v>
      </c>
      <c r="D113" s="21">
        <v>184238</v>
      </c>
      <c r="E113" s="23">
        <f t="shared" si="35"/>
        <v>0.1055753970407842</v>
      </c>
      <c r="F113" s="21">
        <f>+C113-97201</f>
        <v>106488</v>
      </c>
      <c r="G113" s="21">
        <f>+D113-86833</f>
        <v>97405</v>
      </c>
      <c r="H113" s="23">
        <f t="shared" si="36"/>
        <v>9.3249833170781782E-2</v>
      </c>
      <c r="I113" s="24">
        <f t="shared" si="37"/>
        <v>58.669221852922846</v>
      </c>
      <c r="J113" s="24">
        <f t="shared" si="38"/>
        <v>112.22180086019083</v>
      </c>
      <c r="K113" s="21">
        <v>11950275.130000001</v>
      </c>
      <c r="L113" s="21">
        <v>10689277.77</v>
      </c>
      <c r="M113" s="25">
        <f t="shared" si="39"/>
        <v>0.11796843408252093</v>
      </c>
      <c r="N113" s="10"/>
      <c r="R113" s="2"/>
    </row>
    <row r="114" spans="1:18" ht="15.75" customHeight="1" x14ac:dyDescent="0.25">
      <c r="A114" s="19"/>
      <c r="B114" s="20">
        <f>DATE(2023,2,1)</f>
        <v>44958</v>
      </c>
      <c r="C114" s="21">
        <v>207928</v>
      </c>
      <c r="D114" s="21">
        <v>186083</v>
      </c>
      <c r="E114" s="23">
        <f t="shared" si="35"/>
        <v>0.11739385113094694</v>
      </c>
      <c r="F114" s="21">
        <f>+C114-99235</f>
        <v>108693</v>
      </c>
      <c r="G114" s="21">
        <f>+D114-88690</f>
        <v>97393</v>
      </c>
      <c r="H114" s="23">
        <f t="shared" si="36"/>
        <v>0.11602476564024108</v>
      </c>
      <c r="I114" s="24">
        <f t="shared" si="37"/>
        <v>60.502918365972839</v>
      </c>
      <c r="J114" s="24">
        <f t="shared" si="38"/>
        <v>115.74113153560947</v>
      </c>
      <c r="K114" s="21">
        <v>12580250.810000001</v>
      </c>
      <c r="L114" s="21">
        <v>11335666.43</v>
      </c>
      <c r="M114" s="25">
        <f t="shared" si="39"/>
        <v>0.10979366653787473</v>
      </c>
      <c r="N114" s="10"/>
      <c r="R114" s="2"/>
    </row>
    <row r="115" spans="1:18" ht="15.75" customHeight="1" x14ac:dyDescent="0.25">
      <c r="A115" s="19"/>
      <c r="B115" s="20">
        <f>DATE(2023,3,1)</f>
        <v>44986</v>
      </c>
      <c r="C115" s="21">
        <v>231900</v>
      </c>
      <c r="D115" s="21">
        <v>236729</v>
      </c>
      <c r="E115" s="23">
        <f t="shared" si="35"/>
        <v>-2.0398852696543304E-2</v>
      </c>
      <c r="F115" s="21">
        <f>+C115-108329</f>
        <v>123571</v>
      </c>
      <c r="G115" s="21">
        <f>+D115-111747</f>
        <v>124982</v>
      </c>
      <c r="H115" s="23">
        <f t="shared" si="36"/>
        <v>-1.1289625706101678E-2</v>
      </c>
      <c r="I115" s="24">
        <f t="shared" si="37"/>
        <v>61.790556662354462</v>
      </c>
      <c r="J115" s="24">
        <f t="shared" si="38"/>
        <v>115.95948960516625</v>
      </c>
      <c r="K115" s="21">
        <v>14329230.09</v>
      </c>
      <c r="L115" s="21">
        <v>14452685.08</v>
      </c>
      <c r="M115" s="25">
        <f t="shared" si="39"/>
        <v>-8.5420106586865611E-3</v>
      </c>
      <c r="N115" s="10"/>
      <c r="R115" s="2"/>
    </row>
    <row r="116" spans="1:18" ht="15.75" customHeight="1" x14ac:dyDescent="0.25">
      <c r="A116" s="19"/>
      <c r="B116" s="20">
        <f>DATE(2023,4,1)</f>
        <v>45017</v>
      </c>
      <c r="C116" s="21">
        <v>215525</v>
      </c>
      <c r="D116" s="21">
        <v>214208</v>
      </c>
      <c r="E116" s="23">
        <f t="shared" si="35"/>
        <v>6.1482297579922322E-3</v>
      </c>
      <c r="F116" s="21">
        <f>+C116-99325</f>
        <v>116200</v>
      </c>
      <c r="G116" s="21">
        <f>+D116-101580</f>
        <v>112628</v>
      </c>
      <c r="H116" s="23">
        <f t="shared" si="36"/>
        <v>3.171502645878467E-2</v>
      </c>
      <c r="I116" s="24">
        <f t="shared" si="37"/>
        <v>63.722001299153234</v>
      </c>
      <c r="J116" s="24">
        <f t="shared" si="38"/>
        <v>118.19005447504303</v>
      </c>
      <c r="K116" s="21">
        <v>13733684.33</v>
      </c>
      <c r="L116" s="21">
        <v>12729189.960000001</v>
      </c>
      <c r="M116" s="25">
        <f t="shared" si="39"/>
        <v>7.8912670260755463E-2</v>
      </c>
      <c r="N116" s="10"/>
      <c r="R116" s="2"/>
    </row>
    <row r="117" spans="1:18" ht="15.75" customHeight="1" x14ac:dyDescent="0.25">
      <c r="A117" s="19"/>
      <c r="B117" s="20">
        <f>DATE(2023,5,1)</f>
        <v>45047</v>
      </c>
      <c r="C117" s="21">
        <v>207975</v>
      </c>
      <c r="D117" s="21">
        <v>210618</v>
      </c>
      <c r="E117" s="23">
        <f t="shared" si="35"/>
        <v>-1.2548785004130701E-2</v>
      </c>
      <c r="F117" s="21">
        <f>+C117-97497</f>
        <v>110478</v>
      </c>
      <c r="G117" s="21">
        <f>+D117-98910</f>
        <v>111708</v>
      </c>
      <c r="H117" s="23">
        <f t="shared" si="36"/>
        <v>-1.1010849715329252E-2</v>
      </c>
      <c r="I117" s="24">
        <f t="shared" si="37"/>
        <v>62.383634379132104</v>
      </c>
      <c r="J117" s="24">
        <f t="shared" si="38"/>
        <v>117.43728488929922</v>
      </c>
      <c r="K117" s="21">
        <v>12974236.359999999</v>
      </c>
      <c r="L117" s="21">
        <v>12572204.560000001</v>
      </c>
      <c r="M117" s="25">
        <f t="shared" si="39"/>
        <v>3.1977828397663208E-2</v>
      </c>
      <c r="N117" s="10"/>
      <c r="R117" s="2"/>
    </row>
    <row r="118" spans="1:18" ht="15.75" customHeight="1" thickBot="1" x14ac:dyDescent="0.3">
      <c r="A118" s="19"/>
      <c r="B118" s="45"/>
      <c r="C118" s="21"/>
      <c r="D118" s="21"/>
      <c r="E118" s="23"/>
      <c r="F118" s="21"/>
      <c r="G118" s="21"/>
      <c r="H118" s="23"/>
      <c r="I118" s="24"/>
      <c r="J118" s="24"/>
      <c r="K118" s="21"/>
      <c r="L118" s="21"/>
      <c r="M118" s="25"/>
      <c r="N118" s="10"/>
      <c r="R118" s="2"/>
    </row>
    <row r="119" spans="1:18" ht="17.25" thickTop="1" thickBot="1" x14ac:dyDescent="0.3">
      <c r="A119" s="39" t="s">
        <v>14</v>
      </c>
      <c r="B119" s="40"/>
      <c r="C119" s="41">
        <f>SUM(C107:C118)</f>
        <v>2374056</v>
      </c>
      <c r="D119" s="41">
        <f>SUM(D107:D118)</f>
        <v>2321176</v>
      </c>
      <c r="E119" s="280">
        <f>(+C119-D119)/D119</f>
        <v>2.2781555556321449E-2</v>
      </c>
      <c r="F119" s="41">
        <f>SUM(F107:F118)</f>
        <v>1259174</v>
      </c>
      <c r="G119" s="41">
        <f>SUM(G107:G118)</f>
        <v>1244043</v>
      </c>
      <c r="H119" s="42">
        <f>(+F119-G119)/G119</f>
        <v>1.2162762862698476E-2</v>
      </c>
      <c r="I119" s="43">
        <f>K119/C119</f>
        <v>60.682177783506368</v>
      </c>
      <c r="J119" s="43">
        <f>K119/F119</f>
        <v>114.41062812605723</v>
      </c>
      <c r="K119" s="41">
        <f>SUM(K107:K118)</f>
        <v>144062888.25999999</v>
      </c>
      <c r="L119" s="41">
        <f>SUM(L107:L118)</f>
        <v>139094452.69999999</v>
      </c>
      <c r="M119" s="44">
        <f>(+K119-L119)/L119</f>
        <v>3.5719868503425969E-2</v>
      </c>
      <c r="N119" s="10"/>
      <c r="R119" s="2"/>
    </row>
    <row r="120" spans="1:18" ht="15.75" customHeight="1" thickTop="1" x14ac:dyDescent="0.2">
      <c r="A120" s="54"/>
      <c r="B120" s="55"/>
      <c r="C120" s="55"/>
      <c r="D120" s="55"/>
      <c r="E120" s="56"/>
      <c r="F120" s="55"/>
      <c r="G120" s="55"/>
      <c r="H120" s="56"/>
      <c r="I120" s="55"/>
      <c r="J120" s="55"/>
      <c r="K120" s="196"/>
      <c r="L120" s="196"/>
      <c r="M120" s="57"/>
      <c r="N120" s="10"/>
      <c r="R120" s="2"/>
    </row>
    <row r="121" spans="1:18" ht="15.75" customHeight="1" x14ac:dyDescent="0.25">
      <c r="A121" s="19" t="s">
        <v>16</v>
      </c>
      <c r="B121" s="20">
        <f>DATE(2022,7,1)</f>
        <v>44743</v>
      </c>
      <c r="C121" s="21">
        <v>271337</v>
      </c>
      <c r="D121" s="21">
        <v>292626</v>
      </c>
      <c r="E121" s="23">
        <f t="shared" ref="E121:E131" si="40">(+C121-D121)/D121</f>
        <v>-7.27515668464183E-2</v>
      </c>
      <c r="F121" s="21">
        <f>+C121-134570</f>
        <v>136767</v>
      </c>
      <c r="G121" s="21">
        <f>+D121-144119</f>
        <v>148507</v>
      </c>
      <c r="H121" s="23">
        <f t="shared" ref="H121:H131" si="41">(+F121-G121)/G121</f>
        <v>-7.9053512629034317E-2</v>
      </c>
      <c r="I121" s="24">
        <f t="shared" ref="I121:I131" si="42">K121/C121</f>
        <v>67.090164555515841</v>
      </c>
      <c r="J121" s="24">
        <f t="shared" ref="J121:J131" si="43">K121/F121</f>
        <v>133.1026050143675</v>
      </c>
      <c r="K121" s="21">
        <v>18204043.98</v>
      </c>
      <c r="L121" s="21">
        <v>18108904.359999999</v>
      </c>
      <c r="M121" s="25">
        <f t="shared" ref="M121:M131" si="44">(+K121-L121)/L121</f>
        <v>5.2537479964912164E-3</v>
      </c>
      <c r="N121" s="10"/>
      <c r="R121" s="2"/>
    </row>
    <row r="122" spans="1:18" ht="15.75" customHeight="1" x14ac:dyDescent="0.25">
      <c r="A122" s="19"/>
      <c r="B122" s="20">
        <f>DATE(2022,8,1)</f>
        <v>44774</v>
      </c>
      <c r="C122" s="21">
        <v>244622</v>
      </c>
      <c r="D122" s="21">
        <v>252812</v>
      </c>
      <c r="E122" s="23">
        <f t="shared" si="40"/>
        <v>-3.2395614132240555E-2</v>
      </c>
      <c r="F122" s="21">
        <f>+C122-120033</f>
        <v>124589</v>
      </c>
      <c r="G122" s="21">
        <f>+D122-122587</f>
        <v>130225</v>
      </c>
      <c r="H122" s="23">
        <f t="shared" si="41"/>
        <v>-4.3278940295642158E-2</v>
      </c>
      <c r="I122" s="24">
        <f t="shared" si="42"/>
        <v>67.205746743955984</v>
      </c>
      <c r="J122" s="24">
        <f t="shared" si="43"/>
        <v>131.95389785615103</v>
      </c>
      <c r="K122" s="21">
        <v>16440004.18</v>
      </c>
      <c r="L122" s="21">
        <v>16282457.699999999</v>
      </c>
      <c r="M122" s="25">
        <f t="shared" si="44"/>
        <v>9.6758415039518552E-3</v>
      </c>
      <c r="N122" s="10"/>
      <c r="R122" s="2"/>
    </row>
    <row r="123" spans="1:18" ht="15.75" customHeight="1" x14ac:dyDescent="0.25">
      <c r="A123" s="19"/>
      <c r="B123" s="20">
        <f>DATE(2022,9,1)</f>
        <v>44805</v>
      </c>
      <c r="C123" s="21">
        <v>238237</v>
      </c>
      <c r="D123" s="21">
        <v>243584</v>
      </c>
      <c r="E123" s="23">
        <f t="shared" si="40"/>
        <v>-2.1951359695218078E-2</v>
      </c>
      <c r="F123" s="21">
        <f>+C123-117564</f>
        <v>120673</v>
      </c>
      <c r="G123" s="21">
        <f>+D123-118454</f>
        <v>125130</v>
      </c>
      <c r="H123" s="23">
        <f t="shared" si="41"/>
        <v>-3.5618956285463119E-2</v>
      </c>
      <c r="I123" s="24">
        <f t="shared" si="42"/>
        <v>71.1967485738991</v>
      </c>
      <c r="J123" s="24">
        <f t="shared" si="43"/>
        <v>140.55919542896919</v>
      </c>
      <c r="K123" s="21">
        <v>16961699.789999999</v>
      </c>
      <c r="L123" s="21">
        <v>14471118.949999999</v>
      </c>
      <c r="M123" s="25">
        <f t="shared" si="44"/>
        <v>0.17210699798718743</v>
      </c>
      <c r="N123" s="10"/>
      <c r="R123" s="2"/>
    </row>
    <row r="124" spans="1:18" ht="15.75" customHeight="1" x14ac:dyDescent="0.25">
      <c r="A124" s="19"/>
      <c r="B124" s="20">
        <f>DATE(2022,10,1)</f>
        <v>44835</v>
      </c>
      <c r="C124" s="21">
        <v>243168</v>
      </c>
      <c r="D124" s="21">
        <v>265943</v>
      </c>
      <c r="E124" s="23">
        <f t="shared" si="40"/>
        <v>-8.5638651891570744E-2</v>
      </c>
      <c r="F124" s="21">
        <f>+C124-122237</f>
        <v>120931</v>
      </c>
      <c r="G124" s="21">
        <f>+D124-130327</f>
        <v>135616</v>
      </c>
      <c r="H124" s="23">
        <f t="shared" si="41"/>
        <v>-0.10828368334119867</v>
      </c>
      <c r="I124" s="24">
        <f t="shared" si="42"/>
        <v>66.924056454796684</v>
      </c>
      <c r="J124" s="24">
        <f t="shared" si="43"/>
        <v>134.57086239260406</v>
      </c>
      <c r="K124" s="21">
        <v>16273788.960000001</v>
      </c>
      <c r="L124" s="21">
        <v>16493487.77</v>
      </c>
      <c r="M124" s="25">
        <f t="shared" si="44"/>
        <v>-1.3320336672490142E-2</v>
      </c>
      <c r="N124" s="10"/>
      <c r="R124" s="2"/>
    </row>
    <row r="125" spans="1:18" ht="15.75" customHeight="1" x14ac:dyDescent="0.25">
      <c r="A125" s="19"/>
      <c r="B125" s="20">
        <f>DATE(2022,11,1)</f>
        <v>44866</v>
      </c>
      <c r="C125" s="21">
        <v>218400</v>
      </c>
      <c r="D125" s="21">
        <v>251827</v>
      </c>
      <c r="E125" s="23">
        <f t="shared" si="40"/>
        <v>-0.13273795105369957</v>
      </c>
      <c r="F125" s="21">
        <f>+C125-108404</f>
        <v>109996</v>
      </c>
      <c r="G125" s="21">
        <f>+D125-125798</f>
        <v>126029</v>
      </c>
      <c r="H125" s="23">
        <f t="shared" si="41"/>
        <v>-0.12721675170000554</v>
      </c>
      <c r="I125" s="24">
        <f t="shared" si="42"/>
        <v>69.589732142857144</v>
      </c>
      <c r="J125" s="24">
        <f t="shared" si="43"/>
        <v>138.17227444634349</v>
      </c>
      <c r="K125" s="21">
        <v>15198397.5</v>
      </c>
      <c r="L125" s="21">
        <v>16061512.83</v>
      </c>
      <c r="M125" s="25">
        <f t="shared" si="44"/>
        <v>-5.3738109176606132E-2</v>
      </c>
      <c r="N125" s="10"/>
      <c r="R125" s="2"/>
    </row>
    <row r="126" spans="1:18" ht="15.75" customHeight="1" x14ac:dyDescent="0.25">
      <c r="A126" s="19"/>
      <c r="B126" s="20">
        <f>DATE(2022,12,1)</f>
        <v>44896</v>
      </c>
      <c r="C126" s="21">
        <v>250765</v>
      </c>
      <c r="D126" s="21">
        <v>268015</v>
      </c>
      <c r="E126" s="23">
        <f t="shared" si="40"/>
        <v>-6.4362069287166757E-2</v>
      </c>
      <c r="F126" s="21">
        <f>+C126-124228</f>
        <v>126537</v>
      </c>
      <c r="G126" s="21">
        <f>+D126-132764</f>
        <v>135251</v>
      </c>
      <c r="H126" s="23">
        <f t="shared" si="41"/>
        <v>-6.4428359124886328E-2</v>
      </c>
      <c r="I126" s="24">
        <f t="shared" si="42"/>
        <v>66.219051821426433</v>
      </c>
      <c r="J126" s="24">
        <f t="shared" si="43"/>
        <v>131.22976307325129</v>
      </c>
      <c r="K126" s="21">
        <v>16605420.529999999</v>
      </c>
      <c r="L126" s="21">
        <v>16759114.939999999</v>
      </c>
      <c r="M126" s="25">
        <f t="shared" si="44"/>
        <v>-9.1707951494006609E-3</v>
      </c>
      <c r="N126" s="10"/>
      <c r="R126" s="2"/>
    </row>
    <row r="127" spans="1:18" ht="15.75" customHeight="1" x14ac:dyDescent="0.25">
      <c r="A127" s="19"/>
      <c r="B127" s="20">
        <f>DATE(2023,1,1)</f>
        <v>44927</v>
      </c>
      <c r="C127" s="21">
        <v>242722</v>
      </c>
      <c r="D127" s="21">
        <v>234359</v>
      </c>
      <c r="E127" s="23">
        <f t="shared" si="40"/>
        <v>3.56845693999377E-2</v>
      </c>
      <c r="F127" s="21">
        <f>+C127-123375</f>
        <v>119347</v>
      </c>
      <c r="G127" s="21">
        <f>+D127-117571</f>
        <v>116788</v>
      </c>
      <c r="H127" s="23">
        <f t="shared" si="41"/>
        <v>2.1911497756618832E-2</v>
      </c>
      <c r="I127" s="24">
        <f t="shared" si="42"/>
        <v>64.472327271528741</v>
      </c>
      <c r="J127" s="24">
        <f t="shared" si="43"/>
        <v>131.12061652157155</v>
      </c>
      <c r="K127" s="21">
        <v>15648852.220000001</v>
      </c>
      <c r="L127" s="21">
        <v>14903439.41</v>
      </c>
      <c r="M127" s="25">
        <f t="shared" si="44"/>
        <v>5.0016159994574066E-2</v>
      </c>
      <c r="N127" s="10"/>
      <c r="R127" s="2"/>
    </row>
    <row r="128" spans="1:18" ht="15.75" customHeight="1" x14ac:dyDescent="0.25">
      <c r="A128" s="19"/>
      <c r="B128" s="20">
        <f>DATE(2023,2,1)</f>
        <v>44958</v>
      </c>
      <c r="C128" s="21">
        <v>238918</v>
      </c>
      <c r="D128" s="21">
        <v>253600</v>
      </c>
      <c r="E128" s="23">
        <f t="shared" si="40"/>
        <v>-5.7894321766561514E-2</v>
      </c>
      <c r="F128" s="21">
        <f>+C128-118809</f>
        <v>120109</v>
      </c>
      <c r="G128" s="21">
        <f>+D128-127165</f>
        <v>126435</v>
      </c>
      <c r="H128" s="23">
        <f t="shared" si="41"/>
        <v>-5.0033614110017006E-2</v>
      </c>
      <c r="I128" s="24">
        <f t="shared" si="42"/>
        <v>66.361105358323783</v>
      </c>
      <c r="J128" s="24">
        <f t="shared" si="43"/>
        <v>132.00395116102874</v>
      </c>
      <c r="K128" s="21">
        <v>15854862.57</v>
      </c>
      <c r="L128" s="21">
        <v>15991789.529999999</v>
      </c>
      <c r="M128" s="25">
        <f t="shared" si="44"/>
        <v>-8.5623287964820428E-3</v>
      </c>
      <c r="N128" s="10"/>
      <c r="R128" s="2"/>
    </row>
    <row r="129" spans="1:18" ht="15.75" customHeight="1" x14ac:dyDescent="0.25">
      <c r="A129" s="19"/>
      <c r="B129" s="20">
        <f>DATE(2023,3,1)</f>
        <v>44986</v>
      </c>
      <c r="C129" s="21">
        <v>275849</v>
      </c>
      <c r="D129" s="21">
        <v>280533</v>
      </c>
      <c r="E129" s="23">
        <f t="shared" si="40"/>
        <v>-1.6696787900175737E-2</v>
      </c>
      <c r="F129" s="21">
        <f>+C129-138730</f>
        <v>137119</v>
      </c>
      <c r="G129" s="21">
        <f>+D129-140714</f>
        <v>139819</v>
      </c>
      <c r="H129" s="23">
        <f t="shared" si="41"/>
        <v>-1.9310680236591594E-2</v>
      </c>
      <c r="I129" s="24">
        <f t="shared" si="42"/>
        <v>66.306328353555756</v>
      </c>
      <c r="J129" s="24">
        <f t="shared" si="43"/>
        <v>133.39168437634464</v>
      </c>
      <c r="K129" s="21">
        <v>18290534.370000001</v>
      </c>
      <c r="L129" s="21">
        <v>18450271.82</v>
      </c>
      <c r="M129" s="25">
        <f t="shared" si="44"/>
        <v>-8.6577288160516238E-3</v>
      </c>
      <c r="N129" s="10"/>
      <c r="R129" s="2"/>
    </row>
    <row r="130" spans="1:18" ht="15.75" customHeight="1" x14ac:dyDescent="0.25">
      <c r="A130" s="19"/>
      <c r="B130" s="20">
        <f>DATE(2023,4,1)</f>
        <v>45017</v>
      </c>
      <c r="C130" s="21">
        <v>256341</v>
      </c>
      <c r="D130" s="21">
        <v>270998</v>
      </c>
      <c r="E130" s="23">
        <f t="shared" si="40"/>
        <v>-5.4085270001992633E-2</v>
      </c>
      <c r="F130" s="21">
        <f>+C130-130653</f>
        <v>125688</v>
      </c>
      <c r="G130" s="21">
        <f>+D130-136091</f>
        <v>134907</v>
      </c>
      <c r="H130" s="23">
        <f t="shared" si="41"/>
        <v>-6.8335964775734392E-2</v>
      </c>
      <c r="I130" s="24">
        <f t="shared" si="42"/>
        <v>69.74534853964056</v>
      </c>
      <c r="J130" s="24">
        <f t="shared" si="43"/>
        <v>142.24581813697409</v>
      </c>
      <c r="K130" s="21">
        <v>17878592.390000001</v>
      </c>
      <c r="L130" s="21">
        <v>17783758.210000001</v>
      </c>
      <c r="M130" s="25">
        <f t="shared" si="44"/>
        <v>5.3326287323605991E-3</v>
      </c>
      <c r="N130" s="10"/>
      <c r="R130" s="2"/>
    </row>
    <row r="131" spans="1:18" ht="15.75" customHeight="1" x14ac:dyDescent="0.25">
      <c r="A131" s="19"/>
      <c r="B131" s="20">
        <f>DATE(2023,5,1)</f>
        <v>45047</v>
      </c>
      <c r="C131" s="21">
        <v>243902</v>
      </c>
      <c r="D131" s="21">
        <v>252781</v>
      </c>
      <c r="E131" s="23">
        <f t="shared" si="40"/>
        <v>-3.5125266535063947E-2</v>
      </c>
      <c r="F131" s="21">
        <f>+C131-122068</f>
        <v>121834</v>
      </c>
      <c r="G131" s="21">
        <f>+D131-123938</f>
        <v>128843</v>
      </c>
      <c r="H131" s="23">
        <f t="shared" si="41"/>
        <v>-5.439954052606661E-2</v>
      </c>
      <c r="I131" s="24">
        <f t="shared" si="42"/>
        <v>68.699320915777648</v>
      </c>
      <c r="J131" s="24">
        <f t="shared" si="43"/>
        <v>137.53058891606611</v>
      </c>
      <c r="K131" s="21">
        <v>16755901.77</v>
      </c>
      <c r="L131" s="21">
        <v>16797842.629999999</v>
      </c>
      <c r="M131" s="25">
        <f t="shared" si="44"/>
        <v>-2.4968003882293427E-3</v>
      </c>
      <c r="N131" s="10"/>
      <c r="R131" s="2"/>
    </row>
    <row r="132" spans="1:18" ht="15.75" customHeight="1" thickBot="1" x14ac:dyDescent="0.3">
      <c r="A132" s="19"/>
      <c r="B132" s="45"/>
      <c r="C132" s="21"/>
      <c r="D132" s="21"/>
      <c r="E132" s="23"/>
      <c r="F132" s="21"/>
      <c r="G132" s="21"/>
      <c r="H132" s="23"/>
      <c r="I132" s="24"/>
      <c r="J132" s="24"/>
      <c r="K132" s="21"/>
      <c r="L132" s="21"/>
      <c r="M132" s="25"/>
      <c r="N132" s="10"/>
      <c r="R132" s="2"/>
    </row>
    <row r="133" spans="1:18" ht="17.25" thickTop="1" thickBot="1" x14ac:dyDescent="0.3">
      <c r="A133" s="39" t="s">
        <v>14</v>
      </c>
      <c r="B133" s="40"/>
      <c r="C133" s="41">
        <f>SUM(C121:C132)</f>
        <v>2724261</v>
      </c>
      <c r="D133" s="41">
        <f>SUM(D121:D132)</f>
        <v>2867078</v>
      </c>
      <c r="E133" s="280">
        <f>(+C133-D133)/D133</f>
        <v>-4.9812736172507338E-2</v>
      </c>
      <c r="F133" s="41">
        <f>SUM(F121:F132)</f>
        <v>1363590</v>
      </c>
      <c r="G133" s="41">
        <f>SUM(G121:G132)</f>
        <v>1447550</v>
      </c>
      <c r="H133" s="42">
        <f>(+F133-G133)/G133</f>
        <v>-5.8001450727090599E-2</v>
      </c>
      <c r="I133" s="43">
        <f>K133/C133</f>
        <v>67.582400606990305</v>
      </c>
      <c r="J133" s="43">
        <f>K133/F133</f>
        <v>135.0201294083999</v>
      </c>
      <c r="K133" s="41">
        <f>SUM(K121:K132)</f>
        <v>184112098.26000002</v>
      </c>
      <c r="L133" s="41">
        <f>SUM(L121:L132)</f>
        <v>182103698.15000001</v>
      </c>
      <c r="M133" s="44">
        <f>(+K133-L133)/L133</f>
        <v>1.1028881513134796E-2</v>
      </c>
      <c r="N133" s="10"/>
      <c r="R133" s="2"/>
    </row>
    <row r="134" spans="1:18" ht="15.75" customHeight="1" thickTop="1" x14ac:dyDescent="0.2">
      <c r="A134" s="54"/>
      <c r="B134" s="55"/>
      <c r="C134" s="55"/>
      <c r="D134" s="55"/>
      <c r="E134" s="56"/>
      <c r="F134" s="55"/>
      <c r="G134" s="55"/>
      <c r="H134" s="56"/>
      <c r="I134" s="55"/>
      <c r="J134" s="55"/>
      <c r="K134" s="196"/>
      <c r="L134" s="196"/>
      <c r="M134" s="57"/>
      <c r="N134" s="10"/>
      <c r="R134" s="2"/>
    </row>
    <row r="135" spans="1:18" ht="15.75" customHeight="1" x14ac:dyDescent="0.25">
      <c r="A135" s="19" t="s">
        <v>53</v>
      </c>
      <c r="B135" s="20">
        <f>DATE(2022,7,1)</f>
        <v>44743</v>
      </c>
      <c r="C135" s="21">
        <v>358906</v>
      </c>
      <c r="D135" s="21">
        <v>338901</v>
      </c>
      <c r="E135" s="23">
        <f t="shared" ref="E135:E145" si="45">(+C135-D135)/D135</f>
        <v>5.9029037978642729E-2</v>
      </c>
      <c r="F135" s="21">
        <f>+C135-172463</f>
        <v>186443</v>
      </c>
      <c r="G135" s="21">
        <f>+D135-160819</f>
        <v>178082</v>
      </c>
      <c r="H135" s="23">
        <f t="shared" ref="H135:H145" si="46">(+F135-G135)/G135</f>
        <v>4.6950281331072201E-2</v>
      </c>
      <c r="I135" s="24">
        <f t="shared" ref="I135:I145" si="47">K135/C135</f>
        <v>62.40353460237499</v>
      </c>
      <c r="J135" s="24">
        <f t="shared" ref="J135:J145" si="48">K135/F135</f>
        <v>120.12788353545051</v>
      </c>
      <c r="K135" s="21">
        <v>22397002.989999998</v>
      </c>
      <c r="L135" s="21">
        <v>20138878.379999999</v>
      </c>
      <c r="M135" s="25">
        <f t="shared" ref="M135:M145" si="49">(+K135-L135)/L135</f>
        <v>0.11212762535189408</v>
      </c>
      <c r="N135" s="10"/>
      <c r="R135" s="2"/>
    </row>
    <row r="136" spans="1:18" ht="15.75" customHeight="1" x14ac:dyDescent="0.25">
      <c r="A136" s="19"/>
      <c r="B136" s="20">
        <f>DATE(2022,8,1)</f>
        <v>44774</v>
      </c>
      <c r="C136" s="21">
        <v>332390</v>
      </c>
      <c r="D136" s="21">
        <v>315503</v>
      </c>
      <c r="E136" s="23">
        <f t="shared" si="45"/>
        <v>5.3524055238777443E-2</v>
      </c>
      <c r="F136" s="21">
        <f>+C136-159690</f>
        <v>172700</v>
      </c>
      <c r="G136" s="21">
        <f>+D136-149989</f>
        <v>165514</v>
      </c>
      <c r="H136" s="23">
        <f t="shared" si="46"/>
        <v>4.3416266901893492E-2</v>
      </c>
      <c r="I136" s="24">
        <f t="shared" si="47"/>
        <v>62.335644122867713</v>
      </c>
      <c r="J136" s="24">
        <f t="shared" si="48"/>
        <v>119.97536045165026</v>
      </c>
      <c r="K136" s="21">
        <v>20719744.75</v>
      </c>
      <c r="L136" s="21">
        <v>19194870.57</v>
      </c>
      <c r="M136" s="25">
        <f t="shared" si="49"/>
        <v>7.9441753693471229E-2</v>
      </c>
      <c r="N136" s="10"/>
      <c r="R136" s="2"/>
    </row>
    <row r="137" spans="1:18" ht="15.75" customHeight="1" x14ac:dyDescent="0.25">
      <c r="A137" s="19"/>
      <c r="B137" s="20">
        <f>DATE(2022,9,1)</f>
        <v>44805</v>
      </c>
      <c r="C137" s="21">
        <v>333101</v>
      </c>
      <c r="D137" s="21">
        <v>329297</v>
      </c>
      <c r="E137" s="23">
        <f t="shared" si="45"/>
        <v>1.1551881735940503E-2</v>
      </c>
      <c r="F137" s="21">
        <f>+C137-160339</f>
        <v>172762</v>
      </c>
      <c r="G137" s="21">
        <f>+D137-155913</f>
        <v>173384</v>
      </c>
      <c r="H137" s="23">
        <f t="shared" si="46"/>
        <v>-3.5874129100724405E-3</v>
      </c>
      <c r="I137" s="24">
        <f t="shared" si="47"/>
        <v>60.98825344264953</v>
      </c>
      <c r="J137" s="24">
        <f t="shared" si="48"/>
        <v>117.59095292946365</v>
      </c>
      <c r="K137" s="21">
        <v>20315248.210000001</v>
      </c>
      <c r="L137" s="21">
        <v>19476285.940000001</v>
      </c>
      <c r="M137" s="25">
        <f t="shared" si="49"/>
        <v>4.3076091231385949E-2</v>
      </c>
      <c r="N137" s="10"/>
      <c r="R137" s="2"/>
    </row>
    <row r="138" spans="1:18" ht="15.75" customHeight="1" x14ac:dyDescent="0.25">
      <c r="A138" s="19"/>
      <c r="B138" s="20">
        <f>DATE(2022,10,1)</f>
        <v>44835</v>
      </c>
      <c r="C138" s="21">
        <v>337264</v>
      </c>
      <c r="D138" s="21">
        <v>343168</v>
      </c>
      <c r="E138" s="23">
        <f t="shared" si="45"/>
        <v>-1.7204401342782543E-2</v>
      </c>
      <c r="F138" s="21">
        <f>+C138-160233</f>
        <v>177031</v>
      </c>
      <c r="G138" s="21">
        <f>+D138-164416</f>
        <v>178752</v>
      </c>
      <c r="H138" s="23">
        <f t="shared" si="46"/>
        <v>-9.6278643036161841E-3</v>
      </c>
      <c r="I138" s="24">
        <f t="shared" si="47"/>
        <v>62.278013040229609</v>
      </c>
      <c r="J138" s="24">
        <f t="shared" si="48"/>
        <v>118.64663132445729</v>
      </c>
      <c r="K138" s="21">
        <v>21004131.789999999</v>
      </c>
      <c r="L138" s="21">
        <v>21027601.489999998</v>
      </c>
      <c r="M138" s="25">
        <f t="shared" si="49"/>
        <v>-1.1161377588005286E-3</v>
      </c>
      <c r="N138" s="10"/>
      <c r="R138" s="2"/>
    </row>
    <row r="139" spans="1:18" ht="15.75" customHeight="1" x14ac:dyDescent="0.25">
      <c r="A139" s="19"/>
      <c r="B139" s="20">
        <f>DATE(2022,11,1)</f>
        <v>44866</v>
      </c>
      <c r="C139" s="21">
        <v>335976</v>
      </c>
      <c r="D139" s="21">
        <v>319143</v>
      </c>
      <c r="E139" s="23">
        <f t="shared" si="45"/>
        <v>5.2744381045487447E-2</v>
      </c>
      <c r="F139" s="21">
        <f>+C139-165580</f>
        <v>170396</v>
      </c>
      <c r="G139" s="21">
        <f>+D139-158694</f>
        <v>160449</v>
      </c>
      <c r="H139" s="23">
        <f t="shared" si="46"/>
        <v>6.1994777156604279E-2</v>
      </c>
      <c r="I139" s="24">
        <f t="shared" si="47"/>
        <v>62.161757595780657</v>
      </c>
      <c r="J139" s="24">
        <f t="shared" si="48"/>
        <v>122.56660173947746</v>
      </c>
      <c r="K139" s="21">
        <v>20884858.670000002</v>
      </c>
      <c r="L139" s="21">
        <v>19834333.84</v>
      </c>
      <c r="M139" s="25">
        <f t="shared" si="49"/>
        <v>5.2964966631821195E-2</v>
      </c>
      <c r="N139" s="10"/>
      <c r="R139" s="2"/>
    </row>
    <row r="140" spans="1:18" ht="15.75" customHeight="1" x14ac:dyDescent="0.25">
      <c r="A140" s="19"/>
      <c r="B140" s="20">
        <f>DATE(2022,12,1)</f>
        <v>44896</v>
      </c>
      <c r="C140" s="21">
        <v>365576</v>
      </c>
      <c r="D140" s="21">
        <v>337706</v>
      </c>
      <c r="E140" s="23">
        <f t="shared" si="45"/>
        <v>8.2527405494720263E-2</v>
      </c>
      <c r="F140" s="21">
        <f>+C140-180532</f>
        <v>185044</v>
      </c>
      <c r="G140" s="21">
        <f>+D140-167775</f>
        <v>169931</v>
      </c>
      <c r="H140" s="23">
        <f t="shared" si="46"/>
        <v>8.8936097592552277E-2</v>
      </c>
      <c r="I140" s="24">
        <f t="shared" si="47"/>
        <v>56.937219976147226</v>
      </c>
      <c r="J140" s="24">
        <f t="shared" si="48"/>
        <v>112.48611751799571</v>
      </c>
      <c r="K140" s="21">
        <v>20814881.129999999</v>
      </c>
      <c r="L140" s="21">
        <v>21876573.800000001</v>
      </c>
      <c r="M140" s="25">
        <f t="shared" si="49"/>
        <v>-4.8531030485221671E-2</v>
      </c>
      <c r="N140" s="10"/>
      <c r="R140" s="2"/>
    </row>
    <row r="141" spans="1:18" ht="15.75" customHeight="1" x14ac:dyDescent="0.25">
      <c r="A141" s="19"/>
      <c r="B141" s="20">
        <f>DATE(2023,1,1)</f>
        <v>44927</v>
      </c>
      <c r="C141" s="21">
        <v>342355</v>
      </c>
      <c r="D141" s="21">
        <v>310561</v>
      </c>
      <c r="E141" s="23">
        <f t="shared" si="45"/>
        <v>0.10237602274593396</v>
      </c>
      <c r="F141" s="21">
        <f>+C141-168925</f>
        <v>173430</v>
      </c>
      <c r="G141" s="21">
        <f>+D141-154923</f>
        <v>155638</v>
      </c>
      <c r="H141" s="23">
        <f t="shared" si="46"/>
        <v>0.1143165550829489</v>
      </c>
      <c r="I141" s="24">
        <f t="shared" si="47"/>
        <v>60.375485095880002</v>
      </c>
      <c r="J141" s="24">
        <f t="shared" si="48"/>
        <v>119.18266274577638</v>
      </c>
      <c r="K141" s="21">
        <v>20669849.199999999</v>
      </c>
      <c r="L141" s="21">
        <v>18760398.27</v>
      </c>
      <c r="M141" s="25">
        <f t="shared" si="49"/>
        <v>0.10178093783080436</v>
      </c>
      <c r="N141" s="10"/>
      <c r="R141" s="2"/>
    </row>
    <row r="142" spans="1:18" ht="15.75" customHeight="1" x14ac:dyDescent="0.25">
      <c r="A142" s="19"/>
      <c r="B142" s="20">
        <f>DATE(2023,2,1)</f>
        <v>44958</v>
      </c>
      <c r="C142" s="21">
        <v>337128</v>
      </c>
      <c r="D142" s="21">
        <v>302200</v>
      </c>
      <c r="E142" s="23">
        <f t="shared" si="45"/>
        <v>0.11557908669755129</v>
      </c>
      <c r="F142" s="21">
        <f>+C142-165968</f>
        <v>171160</v>
      </c>
      <c r="G142" s="21">
        <f>+D142-150400</f>
        <v>151800</v>
      </c>
      <c r="H142" s="23">
        <f t="shared" si="46"/>
        <v>0.12753623188405797</v>
      </c>
      <c r="I142" s="24">
        <f t="shared" si="47"/>
        <v>61.979284218457082</v>
      </c>
      <c r="J142" s="24">
        <f t="shared" si="48"/>
        <v>122.0784770390278</v>
      </c>
      <c r="K142" s="21">
        <v>20894952.129999999</v>
      </c>
      <c r="L142" s="21">
        <v>19485353.879999999</v>
      </c>
      <c r="M142" s="25">
        <f t="shared" si="49"/>
        <v>7.2341424163039125E-2</v>
      </c>
      <c r="N142" s="10"/>
      <c r="R142" s="2"/>
    </row>
    <row r="143" spans="1:18" ht="15.75" customHeight="1" x14ac:dyDescent="0.25">
      <c r="A143" s="19"/>
      <c r="B143" s="20">
        <f>DATE(2023,3,1)</f>
        <v>44986</v>
      </c>
      <c r="C143" s="21">
        <v>378898</v>
      </c>
      <c r="D143" s="21">
        <v>362122</v>
      </c>
      <c r="E143" s="23">
        <f t="shared" si="45"/>
        <v>4.6326928493712061E-2</v>
      </c>
      <c r="F143" s="21">
        <f>+C143-184365</f>
        <v>194533</v>
      </c>
      <c r="G143" s="21">
        <f>+D143-178958</f>
        <v>183164</v>
      </c>
      <c r="H143" s="23">
        <f t="shared" si="46"/>
        <v>6.2070057434867112E-2</v>
      </c>
      <c r="I143" s="24">
        <f t="shared" si="47"/>
        <v>62.61313672809041</v>
      </c>
      <c r="J143" s="24">
        <f t="shared" si="48"/>
        <v>121.95356201775535</v>
      </c>
      <c r="K143" s="21">
        <v>23723992.280000001</v>
      </c>
      <c r="L143" s="21">
        <v>23536451.559999999</v>
      </c>
      <c r="M143" s="25">
        <f t="shared" si="49"/>
        <v>7.9680966148153957E-3</v>
      </c>
      <c r="N143" s="10"/>
      <c r="R143" s="2"/>
    </row>
    <row r="144" spans="1:18" ht="15.75" customHeight="1" x14ac:dyDescent="0.25">
      <c r="A144" s="19"/>
      <c r="B144" s="20">
        <f>DATE(2023,4,1)</f>
        <v>45017</v>
      </c>
      <c r="C144" s="21">
        <v>354655</v>
      </c>
      <c r="D144" s="21">
        <v>362549</v>
      </c>
      <c r="E144" s="23">
        <f t="shared" si="45"/>
        <v>-2.1773608532915552E-2</v>
      </c>
      <c r="F144" s="21">
        <f>+C144-170194</f>
        <v>184461</v>
      </c>
      <c r="G144" s="21">
        <f>+D144-177339</f>
        <v>185210</v>
      </c>
      <c r="H144" s="23">
        <f t="shared" si="46"/>
        <v>-4.0440580962151067E-3</v>
      </c>
      <c r="I144" s="24">
        <f t="shared" si="47"/>
        <v>62.340078414233552</v>
      </c>
      <c r="J144" s="24">
        <f t="shared" si="48"/>
        <v>119.85850944102006</v>
      </c>
      <c r="K144" s="21">
        <v>22109220.510000002</v>
      </c>
      <c r="L144" s="21">
        <v>23358781.210000001</v>
      </c>
      <c r="M144" s="25">
        <f t="shared" si="49"/>
        <v>-5.3494259343679136E-2</v>
      </c>
      <c r="N144" s="10"/>
      <c r="R144" s="2"/>
    </row>
    <row r="145" spans="1:18" ht="15.75" customHeight="1" x14ac:dyDescent="0.25">
      <c r="A145" s="19"/>
      <c r="B145" s="20">
        <f>DATE(2023,5,1)</f>
        <v>45047</v>
      </c>
      <c r="C145" s="21">
        <v>344223</v>
      </c>
      <c r="D145" s="21">
        <v>339247</v>
      </c>
      <c r="E145" s="23">
        <f t="shared" si="45"/>
        <v>1.4667778933933093E-2</v>
      </c>
      <c r="F145" s="21">
        <f>+C145-161794</f>
        <v>182429</v>
      </c>
      <c r="G145" s="21">
        <f>+D145-163437</f>
        <v>175810</v>
      </c>
      <c r="H145" s="23">
        <f t="shared" si="46"/>
        <v>3.7648597918207155E-2</v>
      </c>
      <c r="I145" s="24">
        <f t="shared" si="47"/>
        <v>61.459243339346877</v>
      </c>
      <c r="J145" s="24">
        <f t="shared" si="48"/>
        <v>115.96667810490658</v>
      </c>
      <c r="K145" s="21">
        <v>21155685.120000001</v>
      </c>
      <c r="L145" s="21">
        <v>22835353.390000001</v>
      </c>
      <c r="M145" s="25">
        <f t="shared" si="49"/>
        <v>-7.3555606576929763E-2</v>
      </c>
      <c r="N145" s="10"/>
      <c r="R145" s="2"/>
    </row>
    <row r="146" spans="1:18" ht="15.75" customHeight="1" thickBot="1" x14ac:dyDescent="0.3">
      <c r="A146" s="19"/>
      <c r="B146" s="45"/>
      <c r="C146" s="21"/>
      <c r="D146" s="21"/>
      <c r="E146" s="23"/>
      <c r="F146" s="21"/>
      <c r="G146" s="21"/>
      <c r="H146" s="23"/>
      <c r="I146" s="24"/>
      <c r="J146" s="24"/>
      <c r="K146" s="21"/>
      <c r="L146" s="21"/>
      <c r="M146" s="25"/>
      <c r="N146" s="10"/>
      <c r="R146" s="2"/>
    </row>
    <row r="147" spans="1:18" ht="17.25" thickTop="1" thickBot="1" x14ac:dyDescent="0.3">
      <c r="A147" s="39" t="s">
        <v>14</v>
      </c>
      <c r="B147" s="40"/>
      <c r="C147" s="41">
        <f>SUM(C135:C146)</f>
        <v>3820472</v>
      </c>
      <c r="D147" s="41">
        <f>SUM(D135:D146)</f>
        <v>3660397</v>
      </c>
      <c r="E147" s="280">
        <f>(+C147-D147)/D147</f>
        <v>4.3731595234068874E-2</v>
      </c>
      <c r="F147" s="41">
        <f>SUM(F135:F146)</f>
        <v>1970389</v>
      </c>
      <c r="G147" s="41">
        <f>SUM(G135:G146)</f>
        <v>1877734</v>
      </c>
      <c r="H147" s="42">
        <f>(+F147-G147)/G147</f>
        <v>4.9344049796190517E-2</v>
      </c>
      <c r="I147" s="43">
        <f>K147/C147</f>
        <v>61.429469128421822</v>
      </c>
      <c r="J147" s="43">
        <f>K147/F147</f>
        <v>119.10824044389203</v>
      </c>
      <c r="K147" s="41">
        <f>SUM(K135:K146)</f>
        <v>234689566.77999997</v>
      </c>
      <c r="L147" s="41">
        <f>SUM(L135:L146)</f>
        <v>229524882.32999998</v>
      </c>
      <c r="M147" s="44">
        <f>(+K147-L147)/L147</f>
        <v>2.2501632056495077E-2</v>
      </c>
      <c r="N147" s="10"/>
      <c r="R147" s="2"/>
    </row>
    <row r="148" spans="1:18" ht="15.75" customHeight="1" thickTop="1" x14ac:dyDescent="0.2">
      <c r="A148" s="58"/>
      <c r="B148" s="59"/>
      <c r="C148" s="59"/>
      <c r="D148" s="59"/>
      <c r="E148" s="60"/>
      <c r="F148" s="59"/>
      <c r="G148" s="59"/>
      <c r="H148" s="60"/>
      <c r="I148" s="59"/>
      <c r="J148" s="59"/>
      <c r="K148" s="197"/>
      <c r="L148" s="197"/>
      <c r="M148" s="61"/>
      <c r="N148" s="10"/>
      <c r="R148" s="2"/>
    </row>
    <row r="149" spans="1:18" ht="15" customHeight="1" x14ac:dyDescent="0.25">
      <c r="A149" s="19" t="s">
        <v>54</v>
      </c>
      <c r="B149" s="20">
        <f>DATE(2022,7,1)</f>
        <v>44743</v>
      </c>
      <c r="C149" s="21">
        <v>45743</v>
      </c>
      <c r="D149" s="21">
        <v>54523</v>
      </c>
      <c r="E149" s="23">
        <f t="shared" ref="E149:E159" si="50">(+C149-D149)/D149</f>
        <v>-0.16103295856794381</v>
      </c>
      <c r="F149" s="21">
        <f>+C149-23748</f>
        <v>21995</v>
      </c>
      <c r="G149" s="21">
        <f>+D149-27936</f>
        <v>26587</v>
      </c>
      <c r="H149" s="23">
        <f t="shared" ref="H149:H159" si="51">(+F149-G149)/G149</f>
        <v>-0.17271598901718885</v>
      </c>
      <c r="I149" s="24">
        <f t="shared" ref="I149:I159" si="52">K149/C149</f>
        <v>71.132472290842315</v>
      </c>
      <c r="J149" s="24">
        <f t="shared" ref="J149:J159" si="53">K149/F149</f>
        <v>147.93419777222095</v>
      </c>
      <c r="K149" s="21">
        <v>3253812.68</v>
      </c>
      <c r="L149" s="21">
        <v>3636808.62</v>
      </c>
      <c r="M149" s="25">
        <f t="shared" ref="M149:M159" si="54">(+K149-L149)/L149</f>
        <v>-0.1053109965406978</v>
      </c>
      <c r="N149" s="10"/>
      <c r="R149" s="2"/>
    </row>
    <row r="150" spans="1:18" ht="15" customHeight="1" x14ac:dyDescent="0.25">
      <c r="A150" s="19"/>
      <c r="B150" s="20">
        <f>DATE(2022,8,1)</f>
        <v>44774</v>
      </c>
      <c r="C150" s="21">
        <v>40978</v>
      </c>
      <c r="D150" s="21">
        <v>47684</v>
      </c>
      <c r="E150" s="23">
        <f t="shared" si="50"/>
        <v>-0.14063417498532002</v>
      </c>
      <c r="F150" s="21">
        <f>+C150-21136</f>
        <v>19842</v>
      </c>
      <c r="G150" s="21">
        <f>+D150-24640</f>
        <v>23044</v>
      </c>
      <c r="H150" s="23">
        <f t="shared" si="51"/>
        <v>-0.1389515709078285</v>
      </c>
      <c r="I150" s="24">
        <f t="shared" si="52"/>
        <v>72.086047635316518</v>
      </c>
      <c r="J150" s="24">
        <f t="shared" si="53"/>
        <v>148.87320129019253</v>
      </c>
      <c r="K150" s="21">
        <v>2953942.06</v>
      </c>
      <c r="L150" s="21">
        <v>3224724.59</v>
      </c>
      <c r="M150" s="25">
        <f t="shared" si="54"/>
        <v>-8.3970746165333704E-2</v>
      </c>
      <c r="N150" s="10"/>
      <c r="R150" s="2"/>
    </row>
    <row r="151" spans="1:18" ht="15" customHeight="1" x14ac:dyDescent="0.25">
      <c r="A151" s="19"/>
      <c r="B151" s="20">
        <f>DATE(2022,9,1)</f>
        <v>44805</v>
      </c>
      <c r="C151" s="21">
        <v>41696</v>
      </c>
      <c r="D151" s="21">
        <v>47289</v>
      </c>
      <c r="E151" s="23">
        <f t="shared" si="50"/>
        <v>-0.11827274841929412</v>
      </c>
      <c r="F151" s="21">
        <f>+C151-21639</f>
        <v>20057</v>
      </c>
      <c r="G151" s="21">
        <f>+D151-24190</f>
        <v>23099</v>
      </c>
      <c r="H151" s="23">
        <f t="shared" si="51"/>
        <v>-0.13169401272782372</v>
      </c>
      <c r="I151" s="24">
        <f t="shared" si="52"/>
        <v>74.372837922102846</v>
      </c>
      <c r="J151" s="24">
        <f t="shared" si="53"/>
        <v>154.61184873111631</v>
      </c>
      <c r="K151" s="21">
        <v>3101049.85</v>
      </c>
      <c r="L151" s="21">
        <v>3144600.15</v>
      </c>
      <c r="M151" s="25">
        <f t="shared" si="54"/>
        <v>-1.3849232946198204E-2</v>
      </c>
      <c r="N151" s="10"/>
      <c r="R151" s="2"/>
    </row>
    <row r="152" spans="1:18" ht="15" customHeight="1" x14ac:dyDescent="0.25">
      <c r="A152" s="19"/>
      <c r="B152" s="20">
        <f>DATE(2022,10,1)</f>
        <v>44835</v>
      </c>
      <c r="C152" s="21">
        <v>40713</v>
      </c>
      <c r="D152" s="21">
        <v>51019</v>
      </c>
      <c r="E152" s="23">
        <f t="shared" si="50"/>
        <v>-0.20200317528763795</v>
      </c>
      <c r="F152" s="21">
        <f>+C152-21150</f>
        <v>19563</v>
      </c>
      <c r="G152" s="21">
        <f>+D152-26626</f>
        <v>24393</v>
      </c>
      <c r="H152" s="23">
        <f t="shared" si="51"/>
        <v>-0.19800762513835937</v>
      </c>
      <c r="I152" s="24">
        <f t="shared" si="52"/>
        <v>74.919373910053309</v>
      </c>
      <c r="J152" s="24">
        <f t="shared" si="53"/>
        <v>155.91639676941165</v>
      </c>
      <c r="K152" s="21">
        <v>3050192.47</v>
      </c>
      <c r="L152" s="21">
        <v>3495138.43</v>
      </c>
      <c r="M152" s="25">
        <f t="shared" si="54"/>
        <v>-0.1273042452856438</v>
      </c>
      <c r="N152" s="10"/>
      <c r="R152" s="2"/>
    </row>
    <row r="153" spans="1:18" ht="15" customHeight="1" x14ac:dyDescent="0.25">
      <c r="A153" s="19"/>
      <c r="B153" s="20">
        <f>DATE(2022,11,1)</f>
        <v>44866</v>
      </c>
      <c r="C153" s="21">
        <v>37233</v>
      </c>
      <c r="D153" s="21">
        <v>42978</v>
      </c>
      <c r="E153" s="23">
        <f t="shared" si="50"/>
        <v>-0.13367304202149938</v>
      </c>
      <c r="F153" s="21">
        <f>+C153-19170</f>
        <v>18063</v>
      </c>
      <c r="G153" s="21">
        <f>+D153-22231</f>
        <v>20747</v>
      </c>
      <c r="H153" s="23">
        <f t="shared" si="51"/>
        <v>-0.12936810141225238</v>
      </c>
      <c r="I153" s="24">
        <f t="shared" si="52"/>
        <v>75.175626460398036</v>
      </c>
      <c r="J153" s="24">
        <f t="shared" si="53"/>
        <v>154.95842883241986</v>
      </c>
      <c r="K153" s="21">
        <v>2799014.1</v>
      </c>
      <c r="L153" s="21">
        <v>3192010.29</v>
      </c>
      <c r="M153" s="25">
        <f t="shared" si="54"/>
        <v>-0.12311871024701489</v>
      </c>
      <c r="N153" s="10"/>
      <c r="R153" s="2"/>
    </row>
    <row r="154" spans="1:18" ht="15" customHeight="1" x14ac:dyDescent="0.25">
      <c r="A154" s="19"/>
      <c r="B154" s="20">
        <f>DATE(2022,12,1)</f>
        <v>44896</v>
      </c>
      <c r="C154" s="21">
        <v>38888</v>
      </c>
      <c r="D154" s="21">
        <v>46732</v>
      </c>
      <c r="E154" s="23">
        <f t="shared" si="50"/>
        <v>-0.16785072327313191</v>
      </c>
      <c r="F154" s="21">
        <f>+C154-20548</f>
        <v>18340</v>
      </c>
      <c r="G154" s="21">
        <f>+D154-24398</f>
        <v>22334</v>
      </c>
      <c r="H154" s="23">
        <f t="shared" si="51"/>
        <v>-0.17883048267215904</v>
      </c>
      <c r="I154" s="24">
        <f t="shared" si="52"/>
        <v>79.659887883151626</v>
      </c>
      <c r="J154" s="24">
        <f t="shared" si="53"/>
        <v>168.91023555070885</v>
      </c>
      <c r="K154" s="21">
        <v>3097813.72</v>
      </c>
      <c r="L154" s="21">
        <v>3172345.79</v>
      </c>
      <c r="M154" s="25">
        <f t="shared" si="54"/>
        <v>-2.3494308292287339E-2</v>
      </c>
      <c r="N154" s="10"/>
      <c r="R154" s="2"/>
    </row>
    <row r="155" spans="1:18" ht="15" customHeight="1" x14ac:dyDescent="0.25">
      <c r="A155" s="19"/>
      <c r="B155" s="20">
        <f>DATE(2023,1,1)</f>
        <v>44927</v>
      </c>
      <c r="C155" s="21">
        <v>39674</v>
      </c>
      <c r="D155" s="21">
        <v>38219</v>
      </c>
      <c r="E155" s="23">
        <f t="shared" si="50"/>
        <v>3.8070069860540567E-2</v>
      </c>
      <c r="F155" s="21">
        <f>+C155-21146</f>
        <v>18528</v>
      </c>
      <c r="G155" s="21">
        <f>+D155-20352</f>
        <v>17867</v>
      </c>
      <c r="H155" s="23">
        <f t="shared" si="51"/>
        <v>3.6995578440700734E-2</v>
      </c>
      <c r="I155" s="24">
        <f t="shared" si="52"/>
        <v>72.79951882845188</v>
      </c>
      <c r="J155" s="24">
        <f t="shared" si="53"/>
        <v>155.88558452072539</v>
      </c>
      <c r="K155" s="21">
        <v>2888248.11</v>
      </c>
      <c r="L155" s="21">
        <v>2828394.75</v>
      </c>
      <c r="M155" s="25">
        <f t="shared" si="54"/>
        <v>2.1161600586339608E-2</v>
      </c>
      <c r="N155" s="10"/>
      <c r="R155" s="2"/>
    </row>
    <row r="156" spans="1:18" ht="15" customHeight="1" x14ac:dyDescent="0.25">
      <c r="A156" s="19"/>
      <c r="B156" s="20">
        <f>DATE(2023,2,1)</f>
        <v>44958</v>
      </c>
      <c r="C156" s="21">
        <v>44258</v>
      </c>
      <c r="D156" s="21">
        <v>40513</v>
      </c>
      <c r="E156" s="23">
        <f t="shared" si="50"/>
        <v>9.2439463875792952E-2</v>
      </c>
      <c r="F156" s="21">
        <f>+C156-23416</f>
        <v>20842</v>
      </c>
      <c r="G156" s="21">
        <f>+D156-21623</f>
        <v>18890</v>
      </c>
      <c r="H156" s="23">
        <f t="shared" si="51"/>
        <v>0.10333509793541557</v>
      </c>
      <c r="I156" s="24">
        <f t="shared" si="52"/>
        <v>70.32988205522166</v>
      </c>
      <c r="J156" s="24">
        <f t="shared" si="53"/>
        <v>149.34554841186068</v>
      </c>
      <c r="K156" s="21">
        <v>3112659.92</v>
      </c>
      <c r="L156" s="21">
        <v>2975555.87</v>
      </c>
      <c r="M156" s="25">
        <f t="shared" si="54"/>
        <v>4.6076785646105109E-2</v>
      </c>
      <c r="N156" s="10"/>
      <c r="R156" s="2"/>
    </row>
    <row r="157" spans="1:18" ht="15" customHeight="1" x14ac:dyDescent="0.25">
      <c r="A157" s="19"/>
      <c r="B157" s="20">
        <f>DATE(2023,3,1)</f>
        <v>44986</v>
      </c>
      <c r="C157" s="21">
        <v>46782</v>
      </c>
      <c r="D157" s="21">
        <v>49211</v>
      </c>
      <c r="E157" s="23">
        <f t="shared" si="50"/>
        <v>-4.9358883176525571E-2</v>
      </c>
      <c r="F157" s="21">
        <f>+C157-24795</f>
        <v>21987</v>
      </c>
      <c r="G157" s="21">
        <f>+D157-26110</f>
        <v>23101</v>
      </c>
      <c r="H157" s="23">
        <f t="shared" si="51"/>
        <v>-4.822302064845678E-2</v>
      </c>
      <c r="I157" s="24">
        <f t="shared" si="52"/>
        <v>71.753970757983836</v>
      </c>
      <c r="J157" s="24">
        <f t="shared" si="53"/>
        <v>152.67177241097011</v>
      </c>
      <c r="K157" s="21">
        <v>3356794.26</v>
      </c>
      <c r="L157" s="21">
        <v>3526809.79</v>
      </c>
      <c r="M157" s="25">
        <f t="shared" si="54"/>
        <v>-4.820660600468625E-2</v>
      </c>
      <c r="N157" s="10"/>
      <c r="R157" s="2"/>
    </row>
    <row r="158" spans="1:18" ht="15" customHeight="1" x14ac:dyDescent="0.25">
      <c r="A158" s="19"/>
      <c r="B158" s="20">
        <f>DATE(2023,4,1)</f>
        <v>45017</v>
      </c>
      <c r="C158" s="21">
        <v>44655</v>
      </c>
      <c r="D158" s="21">
        <v>48033</v>
      </c>
      <c r="E158" s="23">
        <f t="shared" si="50"/>
        <v>-7.0326650427830872E-2</v>
      </c>
      <c r="F158" s="21">
        <f>+C158-23221</f>
        <v>21434</v>
      </c>
      <c r="G158" s="21">
        <f>+D158-25621</f>
        <v>22412</v>
      </c>
      <c r="H158" s="23">
        <f t="shared" si="51"/>
        <v>-4.3637337140817418E-2</v>
      </c>
      <c r="I158" s="24">
        <f t="shared" si="52"/>
        <v>71.032373530399738</v>
      </c>
      <c r="J158" s="24">
        <f t="shared" si="53"/>
        <v>147.98687319212468</v>
      </c>
      <c r="K158" s="21">
        <v>3171950.64</v>
      </c>
      <c r="L158" s="21">
        <v>3485287.53</v>
      </c>
      <c r="M158" s="25">
        <f t="shared" si="54"/>
        <v>-8.9902737522490631E-2</v>
      </c>
      <c r="N158" s="10"/>
      <c r="R158" s="2"/>
    </row>
    <row r="159" spans="1:18" ht="15" customHeight="1" x14ac:dyDescent="0.25">
      <c r="A159" s="19"/>
      <c r="B159" s="20">
        <f>DATE(2023,5,1)</f>
        <v>45047</v>
      </c>
      <c r="C159" s="21">
        <v>42402</v>
      </c>
      <c r="D159" s="21">
        <v>42883</v>
      </c>
      <c r="E159" s="23">
        <f t="shared" si="50"/>
        <v>-1.1216566005176877E-2</v>
      </c>
      <c r="F159" s="21">
        <f>+C159-21818</f>
        <v>20584</v>
      </c>
      <c r="G159" s="21">
        <f>+D159-22214</f>
        <v>20669</v>
      </c>
      <c r="H159" s="23">
        <f t="shared" si="51"/>
        <v>-4.1124389181866564E-3</v>
      </c>
      <c r="I159" s="24">
        <f t="shared" si="52"/>
        <v>74.868512570161784</v>
      </c>
      <c r="J159" s="24">
        <f t="shared" si="53"/>
        <v>154.22535318694131</v>
      </c>
      <c r="K159" s="21">
        <v>3174574.67</v>
      </c>
      <c r="L159" s="21">
        <v>3086452.21</v>
      </c>
      <c r="M159" s="25">
        <f t="shared" si="54"/>
        <v>2.8551376792579582E-2</v>
      </c>
      <c r="N159" s="10"/>
      <c r="R159" s="2"/>
    </row>
    <row r="160" spans="1:18" ht="15.75" thickBot="1" x14ac:dyDescent="0.25">
      <c r="A160" s="38"/>
      <c r="B160" s="20"/>
      <c r="C160" s="21"/>
      <c r="D160" s="21"/>
      <c r="E160" s="23"/>
      <c r="F160" s="21"/>
      <c r="G160" s="21"/>
      <c r="H160" s="23"/>
      <c r="I160" s="24"/>
      <c r="J160" s="24"/>
      <c r="K160" s="21"/>
      <c r="L160" s="21"/>
      <c r="M160" s="25"/>
      <c r="N160" s="10"/>
      <c r="R160" s="2"/>
    </row>
    <row r="161" spans="1:18" ht="17.25" thickTop="1" thickBot="1" x14ac:dyDescent="0.3">
      <c r="A161" s="62" t="s">
        <v>14</v>
      </c>
      <c r="B161" s="52"/>
      <c r="C161" s="48">
        <f>SUM(C149:C160)</f>
        <v>463022</v>
      </c>
      <c r="D161" s="48">
        <f>SUM(D149:D160)</f>
        <v>509084</v>
      </c>
      <c r="E161" s="280">
        <f>(+C161-D161)/D161</f>
        <v>-9.0480156516409865E-2</v>
      </c>
      <c r="F161" s="48">
        <f>SUM(F149:F160)</f>
        <v>221235</v>
      </c>
      <c r="G161" s="48">
        <f>SUM(G149:G160)</f>
        <v>243143</v>
      </c>
      <c r="H161" s="42">
        <f>(+F161-G161)/G161</f>
        <v>-9.0103354815890241E-2</v>
      </c>
      <c r="I161" s="50">
        <f>K161/C161</f>
        <v>73.344360483951078</v>
      </c>
      <c r="J161" s="50">
        <f>K161/F161</f>
        <v>153.50216954821795</v>
      </c>
      <c r="K161" s="48">
        <f>SUM(K149:K160)</f>
        <v>33960052.479999997</v>
      </c>
      <c r="L161" s="48">
        <f>SUM(L149:L160)</f>
        <v>35768128.019999996</v>
      </c>
      <c r="M161" s="44">
        <f>(+K161-L161)/L161</f>
        <v>-5.0549906860907039E-2</v>
      </c>
      <c r="N161" s="10"/>
      <c r="R161" s="2"/>
    </row>
    <row r="162" spans="1:18" ht="15.75" customHeight="1" thickTop="1" x14ac:dyDescent="0.25">
      <c r="A162" s="19"/>
      <c r="B162" s="45"/>
      <c r="C162" s="21"/>
      <c r="D162" s="21"/>
      <c r="E162" s="23"/>
      <c r="F162" s="21"/>
      <c r="G162" s="21"/>
      <c r="H162" s="23"/>
      <c r="I162" s="24"/>
      <c r="J162" s="24"/>
      <c r="K162" s="21"/>
      <c r="L162" s="21"/>
      <c r="M162" s="25"/>
      <c r="N162" s="10"/>
      <c r="R162" s="2"/>
    </row>
    <row r="163" spans="1:18" ht="15.75" x14ac:dyDescent="0.25">
      <c r="A163" s="19" t="s">
        <v>17</v>
      </c>
      <c r="B163" s="20">
        <f>DATE(2022,7,1)</f>
        <v>44743</v>
      </c>
      <c r="C163" s="21">
        <v>376535</v>
      </c>
      <c r="D163" s="21">
        <v>395405</v>
      </c>
      <c r="E163" s="23">
        <f t="shared" ref="E163:E173" si="55">(+C163-D163)/D163</f>
        <v>-4.7723220495441386E-2</v>
      </c>
      <c r="F163" s="21">
        <f>+C163-192471</f>
        <v>184064</v>
      </c>
      <c r="G163" s="21">
        <f>+D163-202613</f>
        <v>192792</v>
      </c>
      <c r="H163" s="23">
        <f t="shared" ref="H163:H173" si="56">(+F163-G163)/G163</f>
        <v>-4.527158803269845E-2</v>
      </c>
      <c r="I163" s="24">
        <f t="shared" ref="I163:I173" si="57">K163/C163</f>
        <v>70.907800948119032</v>
      </c>
      <c r="J163" s="24">
        <f t="shared" ref="J163:J173" si="58">K163/F163</f>
        <v>145.05426824365438</v>
      </c>
      <c r="K163" s="21">
        <v>26699268.829999998</v>
      </c>
      <c r="L163" s="21">
        <v>26479612.129999999</v>
      </c>
      <c r="M163" s="25">
        <f t="shared" ref="M163:M173" si="59">(+K163-L163)/L163</f>
        <v>8.2953141051163599E-3</v>
      </c>
      <c r="N163" s="10"/>
      <c r="R163" s="2"/>
    </row>
    <row r="164" spans="1:18" ht="15.75" x14ac:dyDescent="0.25">
      <c r="A164" s="19"/>
      <c r="B164" s="20">
        <f>DATE(2022,8,1)</f>
        <v>44774</v>
      </c>
      <c r="C164" s="21">
        <v>348725</v>
      </c>
      <c r="D164" s="21">
        <v>360122</v>
      </c>
      <c r="E164" s="23">
        <f t="shared" si="55"/>
        <v>-3.1647608310516995E-2</v>
      </c>
      <c r="F164" s="21">
        <f>+C164-177430</f>
        <v>171295</v>
      </c>
      <c r="G164" s="21">
        <f>+D164-186327</f>
        <v>173795</v>
      </c>
      <c r="H164" s="23">
        <f t="shared" si="56"/>
        <v>-1.4384763658333093E-2</v>
      </c>
      <c r="I164" s="24">
        <f t="shared" si="57"/>
        <v>76.335936798336789</v>
      </c>
      <c r="J164" s="24">
        <f t="shared" si="58"/>
        <v>155.40587617852242</v>
      </c>
      <c r="K164" s="21">
        <v>26620249.559999999</v>
      </c>
      <c r="L164" s="21">
        <v>24423693.359999999</v>
      </c>
      <c r="M164" s="25">
        <f t="shared" si="59"/>
        <v>8.9935464207776941E-2</v>
      </c>
      <c r="N164" s="10"/>
      <c r="R164" s="2"/>
    </row>
    <row r="165" spans="1:18" ht="15.75" x14ac:dyDescent="0.25">
      <c r="A165" s="19"/>
      <c r="B165" s="20">
        <f>DATE(2022,9,1)</f>
        <v>44805</v>
      </c>
      <c r="C165" s="21">
        <v>351773</v>
      </c>
      <c r="D165" s="21">
        <v>353289</v>
      </c>
      <c r="E165" s="23">
        <f t="shared" si="55"/>
        <v>-4.2911044498979587E-3</v>
      </c>
      <c r="F165" s="21">
        <f>+C165-180127</f>
        <v>171646</v>
      </c>
      <c r="G165" s="21">
        <f>+D165-183914</f>
        <v>169375</v>
      </c>
      <c r="H165" s="23">
        <f t="shared" si="56"/>
        <v>1.3408118081180812E-2</v>
      </c>
      <c r="I165" s="24">
        <f t="shared" si="57"/>
        <v>69.592392594087656</v>
      </c>
      <c r="J165" s="24">
        <f t="shared" si="58"/>
        <v>142.62333360521072</v>
      </c>
      <c r="K165" s="21">
        <v>24480724.719999999</v>
      </c>
      <c r="L165" s="21">
        <v>23757941.859999999</v>
      </c>
      <c r="M165" s="25">
        <f t="shared" si="59"/>
        <v>3.0422789324899856E-2</v>
      </c>
      <c r="N165" s="10"/>
      <c r="R165" s="2"/>
    </row>
    <row r="166" spans="1:18" ht="15.75" x14ac:dyDescent="0.25">
      <c r="A166" s="19"/>
      <c r="B166" s="20">
        <f>DATE(2022,10,1)</f>
        <v>44835</v>
      </c>
      <c r="C166" s="21">
        <v>353411</v>
      </c>
      <c r="D166" s="21">
        <v>364454</v>
      </c>
      <c r="E166" s="23">
        <f t="shared" si="55"/>
        <v>-3.0300120179775774E-2</v>
      </c>
      <c r="F166" s="21">
        <f>+C166-182814</f>
        <v>170597</v>
      </c>
      <c r="G166" s="21">
        <f>+D166-184794</f>
        <v>179660</v>
      </c>
      <c r="H166" s="23">
        <f t="shared" si="56"/>
        <v>-5.0445285539352111E-2</v>
      </c>
      <c r="I166" s="24">
        <f t="shared" si="57"/>
        <v>69.239153082388484</v>
      </c>
      <c r="J166" s="24">
        <f t="shared" si="58"/>
        <v>143.43674466725673</v>
      </c>
      <c r="K166" s="21">
        <v>24469878.329999998</v>
      </c>
      <c r="L166" s="21">
        <v>26630976.690000001</v>
      </c>
      <c r="M166" s="25">
        <f t="shared" si="59"/>
        <v>-8.1149797288940631E-2</v>
      </c>
      <c r="N166" s="10"/>
      <c r="R166" s="2"/>
    </row>
    <row r="167" spans="1:18" ht="15.75" x14ac:dyDescent="0.25">
      <c r="A167" s="19"/>
      <c r="B167" s="20">
        <f>DATE(2022,11,1)</f>
        <v>44866</v>
      </c>
      <c r="C167" s="21">
        <v>324947</v>
      </c>
      <c r="D167" s="21">
        <v>343235</v>
      </c>
      <c r="E167" s="23">
        <f t="shared" si="55"/>
        <v>-5.3281279589785423E-2</v>
      </c>
      <c r="F167" s="21">
        <f>+C167-166237</f>
        <v>158710</v>
      </c>
      <c r="G167" s="21">
        <f>+D167-177609</f>
        <v>165626</v>
      </c>
      <c r="H167" s="23">
        <f t="shared" si="56"/>
        <v>-4.1756729015975755E-2</v>
      </c>
      <c r="I167" s="24">
        <f t="shared" si="57"/>
        <v>74.354482915675476</v>
      </c>
      <c r="J167" s="24">
        <f t="shared" si="58"/>
        <v>152.23531069245794</v>
      </c>
      <c r="K167" s="21">
        <v>24161266.16</v>
      </c>
      <c r="L167" s="21">
        <v>23879448.84</v>
      </c>
      <c r="M167" s="25">
        <f t="shared" si="59"/>
        <v>1.1801667697117598E-2</v>
      </c>
      <c r="N167" s="10"/>
      <c r="R167" s="2"/>
    </row>
    <row r="168" spans="1:18" ht="15.75" x14ac:dyDescent="0.25">
      <c r="A168" s="19"/>
      <c r="B168" s="20">
        <f>DATE(2022,12,1)</f>
        <v>44896</v>
      </c>
      <c r="C168" s="21">
        <v>362717</v>
      </c>
      <c r="D168" s="21">
        <v>379724</v>
      </c>
      <c r="E168" s="23">
        <f t="shared" si="55"/>
        <v>-4.4787793239300121E-2</v>
      </c>
      <c r="F168" s="21">
        <f>+C168-186399</f>
        <v>176318</v>
      </c>
      <c r="G168" s="21">
        <f>+D168-197551</f>
        <v>182173</v>
      </c>
      <c r="H168" s="23">
        <f t="shared" si="56"/>
        <v>-3.2139779220850512E-2</v>
      </c>
      <c r="I168" s="24">
        <f t="shared" si="57"/>
        <v>69.681483139748067</v>
      </c>
      <c r="J168" s="24">
        <f t="shared" si="58"/>
        <v>143.34701232999467</v>
      </c>
      <c r="K168" s="21">
        <v>25274658.52</v>
      </c>
      <c r="L168" s="21">
        <v>27250161.699999999</v>
      </c>
      <c r="M168" s="25">
        <f t="shared" si="59"/>
        <v>-7.2495099359355358E-2</v>
      </c>
      <c r="N168" s="10"/>
      <c r="R168" s="2"/>
    </row>
    <row r="169" spans="1:18" ht="15.75" x14ac:dyDescent="0.25">
      <c r="A169" s="19"/>
      <c r="B169" s="20">
        <f>DATE(2023,1,1)</f>
        <v>44927</v>
      </c>
      <c r="C169" s="21">
        <v>343820</v>
      </c>
      <c r="D169" s="21">
        <v>335416</v>
      </c>
      <c r="E169" s="23">
        <f t="shared" si="55"/>
        <v>2.5055453526367257E-2</v>
      </c>
      <c r="F169" s="21">
        <f>+C169-178333</f>
        <v>165487</v>
      </c>
      <c r="G169" s="21">
        <f>+D169-174643</f>
        <v>160773</v>
      </c>
      <c r="H169" s="23">
        <f t="shared" si="56"/>
        <v>2.9320843673999987E-2</v>
      </c>
      <c r="I169" s="24">
        <f t="shared" si="57"/>
        <v>70.874840439764995</v>
      </c>
      <c r="J169" s="24">
        <f t="shared" si="58"/>
        <v>147.25137104425121</v>
      </c>
      <c r="K169" s="21">
        <v>24368187.640000001</v>
      </c>
      <c r="L169" s="21">
        <v>24334132.34</v>
      </c>
      <c r="M169" s="25">
        <f t="shared" si="59"/>
        <v>1.3994869233131138E-3</v>
      </c>
      <c r="N169" s="10"/>
      <c r="R169" s="2"/>
    </row>
    <row r="170" spans="1:18" ht="15.75" x14ac:dyDescent="0.25">
      <c r="A170" s="19"/>
      <c r="B170" s="20">
        <f>DATE(2023,2,1)</f>
        <v>44958</v>
      </c>
      <c r="C170" s="21">
        <v>341036</v>
      </c>
      <c r="D170" s="21">
        <v>330616</v>
      </c>
      <c r="E170" s="23">
        <f t="shared" si="55"/>
        <v>3.1516925980593802E-2</v>
      </c>
      <c r="F170" s="21">
        <f>+C170-179119</f>
        <v>161917</v>
      </c>
      <c r="G170" s="21">
        <f>+D170-173794</f>
        <v>156822</v>
      </c>
      <c r="H170" s="23">
        <f t="shared" si="56"/>
        <v>3.2489064034382932E-2</v>
      </c>
      <c r="I170" s="24">
        <f t="shared" si="57"/>
        <v>74.508310970102869</v>
      </c>
      <c r="J170" s="24">
        <f t="shared" si="58"/>
        <v>156.93235633071265</v>
      </c>
      <c r="K170" s="21">
        <v>25410016.34</v>
      </c>
      <c r="L170" s="21">
        <v>23208177.539999999</v>
      </c>
      <c r="M170" s="25">
        <f t="shared" si="59"/>
        <v>9.4873403833845404E-2</v>
      </c>
      <c r="N170" s="10"/>
      <c r="R170" s="2"/>
    </row>
    <row r="171" spans="1:18" ht="15.75" x14ac:dyDescent="0.25">
      <c r="A171" s="19"/>
      <c r="B171" s="20">
        <f>DATE(2023,3,1)</f>
        <v>44986</v>
      </c>
      <c r="C171" s="21">
        <v>357838</v>
      </c>
      <c r="D171" s="21">
        <v>370986</v>
      </c>
      <c r="E171" s="23">
        <f t="shared" si="55"/>
        <v>-3.5440690484277032E-2</v>
      </c>
      <c r="F171" s="21">
        <f>+C171-185528</f>
        <v>172310</v>
      </c>
      <c r="G171" s="21">
        <f>+D171-192946</f>
        <v>178040</v>
      </c>
      <c r="H171" s="23">
        <f t="shared" si="56"/>
        <v>-3.2183778926084025E-2</v>
      </c>
      <c r="I171" s="24">
        <f t="shared" si="57"/>
        <v>74.973491775607954</v>
      </c>
      <c r="J171" s="24">
        <f t="shared" si="58"/>
        <v>155.69824357263073</v>
      </c>
      <c r="K171" s="21">
        <v>26828364.350000001</v>
      </c>
      <c r="L171" s="21">
        <v>26726725.440000001</v>
      </c>
      <c r="M171" s="25">
        <f t="shared" si="59"/>
        <v>3.8028942314004685E-3</v>
      </c>
      <c r="N171" s="10"/>
      <c r="R171" s="2"/>
    </row>
    <row r="172" spans="1:18" ht="15.75" x14ac:dyDescent="0.25">
      <c r="A172" s="19"/>
      <c r="B172" s="20">
        <f>DATE(2023,4,1)</f>
        <v>45017</v>
      </c>
      <c r="C172" s="21">
        <v>334543</v>
      </c>
      <c r="D172" s="21">
        <v>365479</v>
      </c>
      <c r="E172" s="23">
        <f t="shared" si="55"/>
        <v>-8.464508220718564E-2</v>
      </c>
      <c r="F172" s="21">
        <f>+C172-173829</f>
        <v>160714</v>
      </c>
      <c r="G172" s="21">
        <f>+D172-189071</f>
        <v>176408</v>
      </c>
      <c r="H172" s="23">
        <f t="shared" si="56"/>
        <v>-8.8964219309781864E-2</v>
      </c>
      <c r="I172" s="24">
        <f t="shared" si="57"/>
        <v>79.617603297632883</v>
      </c>
      <c r="J172" s="24">
        <f t="shared" si="58"/>
        <v>165.73236843087722</v>
      </c>
      <c r="K172" s="21">
        <v>26635511.859999999</v>
      </c>
      <c r="L172" s="21">
        <v>26384448.559999999</v>
      </c>
      <c r="M172" s="25">
        <f t="shared" si="59"/>
        <v>9.5155788239828492E-3</v>
      </c>
      <c r="N172" s="10"/>
      <c r="R172" s="2"/>
    </row>
    <row r="173" spans="1:18" ht="15.75" x14ac:dyDescent="0.25">
      <c r="A173" s="19"/>
      <c r="B173" s="20">
        <f>DATE(2023,5,1)</f>
        <v>45047</v>
      </c>
      <c r="C173" s="21">
        <v>317534</v>
      </c>
      <c r="D173" s="21">
        <v>341187</v>
      </c>
      <c r="E173" s="23">
        <f t="shared" si="55"/>
        <v>-6.9325619088652257E-2</v>
      </c>
      <c r="F173" s="21">
        <f>+C173-163187</f>
        <v>154347</v>
      </c>
      <c r="G173" s="21">
        <f>+D173-174971</f>
        <v>166216</v>
      </c>
      <c r="H173" s="23">
        <f t="shared" si="56"/>
        <v>-7.1407084757183423E-2</v>
      </c>
      <c r="I173" s="24">
        <f t="shared" si="57"/>
        <v>76.696440759099815</v>
      </c>
      <c r="J173" s="24">
        <f t="shared" si="58"/>
        <v>157.785558643835</v>
      </c>
      <c r="K173" s="21">
        <v>24353727.620000001</v>
      </c>
      <c r="L173" s="21">
        <v>25222724.370000001</v>
      </c>
      <c r="M173" s="25">
        <f t="shared" si="59"/>
        <v>-3.4452929717361851E-2</v>
      </c>
      <c r="N173" s="10"/>
      <c r="R173" s="2"/>
    </row>
    <row r="174" spans="1:18" ht="15.75" thickBot="1" x14ac:dyDescent="0.25">
      <c r="A174" s="38"/>
      <c r="B174" s="45"/>
      <c r="C174" s="21"/>
      <c r="D174" s="21"/>
      <c r="E174" s="23"/>
      <c r="F174" s="21"/>
      <c r="G174" s="21"/>
      <c r="H174" s="23"/>
      <c r="I174" s="24"/>
      <c r="J174" s="24"/>
      <c r="K174" s="21"/>
      <c r="L174" s="21"/>
      <c r="M174" s="25"/>
      <c r="N174" s="10"/>
      <c r="R174" s="2"/>
    </row>
    <row r="175" spans="1:18" ht="17.25" thickTop="1" thickBot="1" x14ac:dyDescent="0.3">
      <c r="A175" s="39" t="s">
        <v>14</v>
      </c>
      <c r="B175" s="40"/>
      <c r="C175" s="41">
        <f>SUM(C163:C174)</f>
        <v>3812879</v>
      </c>
      <c r="D175" s="41">
        <f>SUM(D163:D174)</f>
        <v>3939913</v>
      </c>
      <c r="E175" s="280">
        <f>(+C175-D175)/D175</f>
        <v>-3.2242843940970267E-2</v>
      </c>
      <c r="F175" s="41">
        <f>SUM(F163:F174)</f>
        <v>1847405</v>
      </c>
      <c r="G175" s="41">
        <f>SUM(G163:G174)</f>
        <v>1901680</v>
      </c>
      <c r="H175" s="42">
        <f>(+F175-G175)/G175</f>
        <v>-2.8540553615750284E-2</v>
      </c>
      <c r="I175" s="43">
        <f>K175/C175</f>
        <v>73.25222067891481</v>
      </c>
      <c r="J175" s="43">
        <f>K175/F175</f>
        <v>151.18604417006557</v>
      </c>
      <c r="K175" s="41">
        <f>SUM(K163:K174)</f>
        <v>279301853.93000001</v>
      </c>
      <c r="L175" s="41">
        <f>SUM(L163:L174)</f>
        <v>278298042.82999998</v>
      </c>
      <c r="M175" s="44">
        <f>(+K175-L175)/L175</f>
        <v>3.6069642811437513E-3</v>
      </c>
      <c r="N175" s="10"/>
      <c r="R175" s="2"/>
    </row>
    <row r="176" spans="1:18" ht="15.75" customHeight="1" thickTop="1" x14ac:dyDescent="0.25">
      <c r="A176" s="19"/>
      <c r="B176" s="45"/>
      <c r="C176" s="21"/>
      <c r="D176" s="21"/>
      <c r="E176" s="23"/>
      <c r="F176" s="21"/>
      <c r="G176" s="21"/>
      <c r="H176" s="23"/>
      <c r="I176" s="24"/>
      <c r="J176" s="24"/>
      <c r="K176" s="21"/>
      <c r="L176" s="21"/>
      <c r="M176" s="25"/>
      <c r="N176" s="10"/>
      <c r="R176" s="2"/>
    </row>
    <row r="177" spans="1:18" ht="15.75" x14ac:dyDescent="0.25">
      <c r="A177" s="19" t="s">
        <v>56</v>
      </c>
      <c r="B177" s="20">
        <f>DATE(2022,7,1)</f>
        <v>44743</v>
      </c>
      <c r="C177" s="21">
        <v>68778</v>
      </c>
      <c r="D177" s="21">
        <v>70527</v>
      </c>
      <c r="E177" s="23">
        <f t="shared" ref="E177:E187" si="60">(+C177-D177)/D177</f>
        <v>-2.4799013143902336E-2</v>
      </c>
      <c r="F177" s="21">
        <f>+C177-29763</f>
        <v>39015</v>
      </c>
      <c r="G177" s="21">
        <f>+D177-30135</f>
        <v>40392</v>
      </c>
      <c r="H177" s="23">
        <f t="shared" ref="H177:H187" si="61">(+F177-G177)/G177</f>
        <v>-3.4090909090909088E-2</v>
      </c>
      <c r="I177" s="24">
        <f t="shared" ref="I177:I187" si="62">K177/C177</f>
        <v>60.163594463345838</v>
      </c>
      <c r="J177" s="24">
        <f t="shared" ref="J177:J187" si="63">K177/F177</f>
        <v>106.060020504934</v>
      </c>
      <c r="K177" s="21">
        <v>4137931.7</v>
      </c>
      <c r="L177" s="21">
        <v>4091344.57</v>
      </c>
      <c r="M177" s="25">
        <f t="shared" ref="M177:M187" si="64">(+K177-L177)/L177</f>
        <v>1.1386752986195039E-2</v>
      </c>
      <c r="N177" s="10"/>
      <c r="R177" s="2"/>
    </row>
    <row r="178" spans="1:18" ht="15.75" x14ac:dyDescent="0.25">
      <c r="A178" s="19"/>
      <c r="B178" s="20">
        <f>DATE(2022,8,1)</f>
        <v>44774</v>
      </c>
      <c r="C178" s="21">
        <v>61732</v>
      </c>
      <c r="D178" s="21">
        <v>69916</v>
      </c>
      <c r="E178" s="23">
        <f t="shared" si="60"/>
        <v>-0.1170547514159849</v>
      </c>
      <c r="F178" s="21">
        <f>+C178-26815</f>
        <v>34917</v>
      </c>
      <c r="G178" s="21">
        <f>+D178-30124</f>
        <v>39792</v>
      </c>
      <c r="H178" s="23">
        <f t="shared" si="61"/>
        <v>-0.12251206272617611</v>
      </c>
      <c r="I178" s="24">
        <f t="shared" si="62"/>
        <v>59.282511339337788</v>
      </c>
      <c r="J178" s="24">
        <f t="shared" si="63"/>
        <v>104.80934759572702</v>
      </c>
      <c r="K178" s="21">
        <v>3659627.99</v>
      </c>
      <c r="L178" s="21">
        <v>3930320.16</v>
      </c>
      <c r="M178" s="25">
        <f t="shared" si="64"/>
        <v>-6.8872803990604137E-2</v>
      </c>
      <c r="N178" s="10"/>
      <c r="R178" s="2"/>
    </row>
    <row r="179" spans="1:18" ht="15.75" x14ac:dyDescent="0.25">
      <c r="A179" s="19"/>
      <c r="B179" s="20">
        <f>DATE(2022,9,1)</f>
        <v>44805</v>
      </c>
      <c r="C179" s="21">
        <v>62788</v>
      </c>
      <c r="D179" s="21">
        <v>66900</v>
      </c>
      <c r="E179" s="23">
        <f t="shared" si="60"/>
        <v>-6.146487294469357E-2</v>
      </c>
      <c r="F179" s="21">
        <f>+C179-27365</f>
        <v>35423</v>
      </c>
      <c r="G179" s="21">
        <f>+D179-28690</f>
        <v>38210</v>
      </c>
      <c r="H179" s="23">
        <f t="shared" si="61"/>
        <v>-7.2939021198639098E-2</v>
      </c>
      <c r="I179" s="24">
        <f t="shared" si="62"/>
        <v>63.07989759189654</v>
      </c>
      <c r="J179" s="24">
        <f t="shared" si="63"/>
        <v>111.81042288908336</v>
      </c>
      <c r="K179" s="21">
        <v>3960660.61</v>
      </c>
      <c r="L179" s="21">
        <v>3635691.87</v>
      </c>
      <c r="M179" s="25">
        <f t="shared" si="64"/>
        <v>8.9382915719972644E-2</v>
      </c>
      <c r="N179" s="10"/>
      <c r="R179" s="2"/>
    </row>
    <row r="180" spans="1:18" ht="15.75" x14ac:dyDescent="0.25">
      <c r="A180" s="19"/>
      <c r="B180" s="20">
        <f>DATE(2022,10,1)</f>
        <v>44835</v>
      </c>
      <c r="C180" s="21">
        <v>62422</v>
      </c>
      <c r="D180" s="21">
        <v>71041</v>
      </c>
      <c r="E180" s="23">
        <f t="shared" si="60"/>
        <v>-0.12132430568263397</v>
      </c>
      <c r="F180" s="21">
        <f>+C180-27630</f>
        <v>34792</v>
      </c>
      <c r="G180" s="21">
        <f>+D180-30775</f>
        <v>40266</v>
      </c>
      <c r="H180" s="23">
        <f t="shared" si="61"/>
        <v>-0.13594595937018825</v>
      </c>
      <c r="I180" s="24">
        <f t="shared" si="62"/>
        <v>61.52534154624972</v>
      </c>
      <c r="J180" s="24">
        <f t="shared" si="63"/>
        <v>110.38557340767993</v>
      </c>
      <c r="K180" s="21">
        <v>3840534.87</v>
      </c>
      <c r="L180" s="21">
        <v>4122858.46</v>
      </c>
      <c r="M180" s="25">
        <f t="shared" si="64"/>
        <v>-6.8477633355378362E-2</v>
      </c>
      <c r="N180" s="10"/>
      <c r="R180" s="2"/>
    </row>
    <row r="181" spans="1:18" ht="15.75" x14ac:dyDescent="0.25">
      <c r="A181" s="19"/>
      <c r="B181" s="20">
        <f>DATE(2022,11,1)</f>
        <v>44866</v>
      </c>
      <c r="C181" s="21">
        <v>58006</v>
      </c>
      <c r="D181" s="21">
        <v>63538</v>
      </c>
      <c r="E181" s="23">
        <f t="shared" si="60"/>
        <v>-8.706600774339765E-2</v>
      </c>
      <c r="F181" s="21">
        <f>+C181-26107</f>
        <v>31899</v>
      </c>
      <c r="G181" s="21">
        <f>+D181-27532</f>
        <v>36006</v>
      </c>
      <c r="H181" s="23">
        <f t="shared" si="61"/>
        <v>-0.11406432261289785</v>
      </c>
      <c r="I181" s="24">
        <f t="shared" si="62"/>
        <v>61.605238078819433</v>
      </c>
      <c r="J181" s="24">
        <f t="shared" si="63"/>
        <v>112.02462271544562</v>
      </c>
      <c r="K181" s="21">
        <v>3573473.44</v>
      </c>
      <c r="L181" s="21">
        <v>3745220.41</v>
      </c>
      <c r="M181" s="25">
        <f t="shared" si="64"/>
        <v>-4.5857640191595612E-2</v>
      </c>
      <c r="N181" s="10"/>
      <c r="R181" s="2"/>
    </row>
    <row r="182" spans="1:18" ht="15.75" x14ac:dyDescent="0.25">
      <c r="A182" s="19"/>
      <c r="B182" s="20">
        <f>DATE(2022,12,1)</f>
        <v>44896</v>
      </c>
      <c r="C182" s="21">
        <v>64256</v>
      </c>
      <c r="D182" s="21">
        <v>69761</v>
      </c>
      <c r="E182" s="23">
        <f t="shared" si="60"/>
        <v>-7.8912286234428974E-2</v>
      </c>
      <c r="F182" s="21">
        <f>+C182-29013</f>
        <v>35243</v>
      </c>
      <c r="G182" s="21">
        <f>+D182-31055</f>
        <v>38706</v>
      </c>
      <c r="H182" s="23">
        <f t="shared" si="61"/>
        <v>-8.9469332919960731E-2</v>
      </c>
      <c r="I182" s="24">
        <f t="shared" si="62"/>
        <v>61.231998412599602</v>
      </c>
      <c r="J182" s="24">
        <f t="shared" si="63"/>
        <v>111.63985160173651</v>
      </c>
      <c r="K182" s="21">
        <v>3934523.29</v>
      </c>
      <c r="L182" s="21">
        <v>4118536.58</v>
      </c>
      <c r="M182" s="25">
        <f t="shared" si="64"/>
        <v>-4.4679289943322549E-2</v>
      </c>
      <c r="N182" s="10"/>
      <c r="R182" s="2"/>
    </row>
    <row r="183" spans="1:18" ht="15.75" x14ac:dyDescent="0.25">
      <c r="A183" s="19"/>
      <c r="B183" s="20">
        <f>DATE(2023,1,1)</f>
        <v>44927</v>
      </c>
      <c r="C183" s="21">
        <v>59434</v>
      </c>
      <c r="D183" s="21">
        <v>58380</v>
      </c>
      <c r="E183" s="23">
        <f t="shared" si="60"/>
        <v>1.8054128126070573E-2</v>
      </c>
      <c r="F183" s="21">
        <f>+C183-26887</f>
        <v>32547</v>
      </c>
      <c r="G183" s="21">
        <f>+D183-26040</f>
        <v>32340</v>
      </c>
      <c r="H183" s="23">
        <f t="shared" si="61"/>
        <v>6.4007421150278293E-3</v>
      </c>
      <c r="I183" s="24">
        <f t="shared" si="62"/>
        <v>61.418746340478513</v>
      </c>
      <c r="J183" s="24">
        <f t="shared" si="63"/>
        <v>112.15662795342121</v>
      </c>
      <c r="K183" s="21">
        <v>3650361.77</v>
      </c>
      <c r="L183" s="21">
        <v>3541693.83</v>
      </c>
      <c r="M183" s="25">
        <f t="shared" si="64"/>
        <v>3.0682477146817613E-2</v>
      </c>
      <c r="N183" s="10"/>
      <c r="R183" s="2"/>
    </row>
    <row r="184" spans="1:18" ht="15.75" x14ac:dyDescent="0.25">
      <c r="A184" s="19"/>
      <c r="B184" s="20">
        <f>DATE(2023,2,1)</f>
        <v>44958</v>
      </c>
      <c r="C184" s="21">
        <v>65887</v>
      </c>
      <c r="D184" s="21">
        <v>66748</v>
      </c>
      <c r="E184" s="23">
        <f t="shared" si="60"/>
        <v>-1.2899262899262898E-2</v>
      </c>
      <c r="F184" s="21">
        <f>+C184-30047</f>
        <v>35840</v>
      </c>
      <c r="G184" s="21">
        <f>+D184-30082</f>
        <v>36666</v>
      </c>
      <c r="H184" s="23">
        <f t="shared" si="61"/>
        <v>-2.2527682321496753E-2</v>
      </c>
      <c r="I184" s="24">
        <f t="shared" si="62"/>
        <v>62.829925933795742</v>
      </c>
      <c r="J184" s="24">
        <f t="shared" si="63"/>
        <v>115.50433398437501</v>
      </c>
      <c r="K184" s="21">
        <v>4139675.33</v>
      </c>
      <c r="L184" s="21">
        <v>4039571.72</v>
      </c>
      <c r="M184" s="25">
        <f t="shared" si="64"/>
        <v>2.4780748291801553E-2</v>
      </c>
      <c r="N184" s="10"/>
      <c r="R184" s="2"/>
    </row>
    <row r="185" spans="1:18" ht="15.75" x14ac:dyDescent="0.25">
      <c r="A185" s="19"/>
      <c r="B185" s="20">
        <f>DATE(2023,3,1)</f>
        <v>44986</v>
      </c>
      <c r="C185" s="21">
        <v>75208</v>
      </c>
      <c r="D185" s="21">
        <v>73525</v>
      </c>
      <c r="E185" s="23">
        <f t="shared" si="60"/>
        <v>2.2890173410404623E-2</v>
      </c>
      <c r="F185" s="21">
        <f>+C185-34160</f>
        <v>41048</v>
      </c>
      <c r="G185" s="21">
        <f>+D185-32882</f>
        <v>40643</v>
      </c>
      <c r="H185" s="23">
        <f t="shared" si="61"/>
        <v>9.964815589400388E-3</v>
      </c>
      <c r="I185" s="24">
        <f t="shared" si="62"/>
        <v>61.107187932134877</v>
      </c>
      <c r="J185" s="24">
        <f t="shared" si="63"/>
        <v>111.96037297797699</v>
      </c>
      <c r="K185" s="21">
        <v>4595749.3899999997</v>
      </c>
      <c r="L185" s="21">
        <v>4535265.51</v>
      </c>
      <c r="M185" s="25">
        <f t="shared" si="64"/>
        <v>1.3336348195411362E-2</v>
      </c>
      <c r="N185" s="10"/>
      <c r="R185" s="2"/>
    </row>
    <row r="186" spans="1:18" ht="15.75" x14ac:dyDescent="0.25">
      <c r="A186" s="19"/>
      <c r="B186" s="20">
        <f>DATE(2023,4,1)</f>
        <v>45017</v>
      </c>
      <c r="C186" s="21">
        <v>68880</v>
      </c>
      <c r="D186" s="21">
        <v>72346</v>
      </c>
      <c r="E186" s="23">
        <f t="shared" si="60"/>
        <v>-4.7908661156110914E-2</v>
      </c>
      <c r="F186" s="21">
        <f>+C186-31217</f>
        <v>37663</v>
      </c>
      <c r="G186" s="21">
        <f>+D186-32026</f>
        <v>40320</v>
      </c>
      <c r="H186" s="23">
        <f t="shared" si="61"/>
        <v>-6.5897817460317462E-2</v>
      </c>
      <c r="I186" s="24">
        <f t="shared" si="62"/>
        <v>62.698019454123113</v>
      </c>
      <c r="J186" s="24">
        <f t="shared" si="63"/>
        <v>114.6653102514404</v>
      </c>
      <c r="K186" s="21">
        <v>4318639.58</v>
      </c>
      <c r="L186" s="21">
        <v>4588560.75</v>
      </c>
      <c r="M186" s="25">
        <f t="shared" si="64"/>
        <v>-5.8824800347254839E-2</v>
      </c>
      <c r="N186" s="10"/>
      <c r="R186" s="2"/>
    </row>
    <row r="187" spans="1:18" ht="15.75" x14ac:dyDescent="0.25">
      <c r="A187" s="19"/>
      <c r="B187" s="20">
        <f>DATE(2023,5,1)</f>
        <v>45047</v>
      </c>
      <c r="C187" s="21">
        <v>65130</v>
      </c>
      <c r="D187" s="21">
        <v>65550</v>
      </c>
      <c r="E187" s="23">
        <f t="shared" si="60"/>
        <v>-6.4073226544622422E-3</v>
      </c>
      <c r="F187" s="21">
        <f>+C187-28871</f>
        <v>36259</v>
      </c>
      <c r="G187" s="21">
        <f>+D187-28739</f>
        <v>36811</v>
      </c>
      <c r="H187" s="23">
        <f t="shared" si="61"/>
        <v>-1.4995517644182445E-2</v>
      </c>
      <c r="I187" s="24">
        <f t="shared" si="62"/>
        <v>62.195815599570096</v>
      </c>
      <c r="J187" s="24">
        <f t="shared" si="63"/>
        <v>111.7188413911029</v>
      </c>
      <c r="K187" s="21">
        <v>4050813.47</v>
      </c>
      <c r="L187" s="21">
        <v>4045902.69</v>
      </c>
      <c r="M187" s="25">
        <f t="shared" si="64"/>
        <v>1.2137662164089914E-3</v>
      </c>
      <c r="N187" s="10"/>
      <c r="R187" s="2"/>
    </row>
    <row r="188" spans="1:18" ht="15.75" thickBot="1" x14ac:dyDescent="0.25">
      <c r="A188" s="38"/>
      <c r="B188" s="45"/>
      <c r="C188" s="21"/>
      <c r="D188" s="21"/>
      <c r="E188" s="23"/>
      <c r="F188" s="21"/>
      <c r="G188" s="21"/>
      <c r="H188" s="23"/>
      <c r="I188" s="24"/>
      <c r="J188" s="24"/>
      <c r="K188" s="21"/>
      <c r="L188" s="21"/>
      <c r="M188" s="25"/>
      <c r="N188" s="10"/>
      <c r="R188" s="2"/>
    </row>
    <row r="189" spans="1:18" ht="17.25" thickTop="1" thickBot="1" x14ac:dyDescent="0.3">
      <c r="A189" s="26" t="s">
        <v>14</v>
      </c>
      <c r="B189" s="27"/>
      <c r="C189" s="28">
        <f>SUM(C177:C188)</f>
        <v>712521</v>
      </c>
      <c r="D189" s="28">
        <f>SUM(D177:D188)</f>
        <v>748232</v>
      </c>
      <c r="E189" s="280">
        <f>(+C189-D189)/D189</f>
        <v>-4.7727175528445721E-2</v>
      </c>
      <c r="F189" s="28">
        <f>SUM(F177:F188)</f>
        <v>394646</v>
      </c>
      <c r="G189" s="28">
        <f>SUM(G177:G188)</f>
        <v>420152</v>
      </c>
      <c r="H189" s="42">
        <f>(+F189-G189)/G189</f>
        <v>-6.0706601420438315E-2</v>
      </c>
      <c r="I189" s="43">
        <f>K189/C189</f>
        <v>61.558875373497763</v>
      </c>
      <c r="J189" s="43">
        <f>K189/F189</f>
        <v>111.14262260354849</v>
      </c>
      <c r="K189" s="28">
        <f>SUM(K177:K188)</f>
        <v>43861991.439999998</v>
      </c>
      <c r="L189" s="28">
        <f>SUM(L177:L188)</f>
        <v>44394966.549999997</v>
      </c>
      <c r="M189" s="44">
        <f>(+K189-L189)/L189</f>
        <v>-1.2005304912207427E-2</v>
      </c>
      <c r="N189" s="10"/>
      <c r="R189" s="2"/>
    </row>
    <row r="190" spans="1:18" ht="16.5" thickTop="1" thickBot="1" x14ac:dyDescent="0.25">
      <c r="A190" s="63"/>
      <c r="B190" s="34"/>
      <c r="C190" s="35"/>
      <c r="D190" s="35"/>
      <c r="E190" s="29"/>
      <c r="F190" s="35"/>
      <c r="G190" s="35"/>
      <c r="H190" s="29"/>
      <c r="I190" s="36"/>
      <c r="J190" s="36"/>
      <c r="K190" s="35"/>
      <c r="L190" s="35"/>
      <c r="M190" s="37"/>
      <c r="N190" s="10"/>
      <c r="R190" s="2"/>
    </row>
    <row r="191" spans="1:18" ht="17.25" thickTop="1" thickBot="1" x14ac:dyDescent="0.3">
      <c r="A191" s="64" t="s">
        <v>18</v>
      </c>
      <c r="B191" s="65"/>
      <c r="C191" s="28">
        <f>C189+C175+C77+C105+C119+C49+C21+C133+C147+C63+C161+C35+C91</f>
        <v>26628341</v>
      </c>
      <c r="D191" s="28">
        <f>D189+D175+D77+D105+D119+D49+D21+D133+D147+D63+D161+D35+D91</f>
        <v>27466011</v>
      </c>
      <c r="E191" s="279">
        <f>(+C191-D191)/D191</f>
        <v>-3.0498422213549686E-2</v>
      </c>
      <c r="F191" s="28">
        <f>F189+F175+F77+F105+F119+F49+F21+F133+F147+F63+F161+F35+F91</f>
        <v>13530487</v>
      </c>
      <c r="G191" s="28">
        <f>G189+G175+G77+G105+G119+G49+G21+G133+G147+G63+G161+G35+G91</f>
        <v>13874951</v>
      </c>
      <c r="H191" s="30">
        <f>(+F191-G191)/G191</f>
        <v>-2.4826321909172867E-2</v>
      </c>
      <c r="I191" s="31">
        <f>K191/C191</f>
        <v>66.305594597875995</v>
      </c>
      <c r="J191" s="31">
        <f>K191/F191</f>
        <v>130.49108898741042</v>
      </c>
      <c r="K191" s="28">
        <f>K189+K175+K77+K105+K119+K49+K21+K133+K147+K63+K161+K35+K91</f>
        <v>1765607983.1599998</v>
      </c>
      <c r="L191" s="28">
        <f>L189+L175+L77+L105+L119+L49+L21+L133+L147+L63+L161+L35+L91</f>
        <v>1753076621.28</v>
      </c>
      <c r="M191" s="32">
        <f>(+K191-L191)/L191</f>
        <v>7.1482111665205862E-3</v>
      </c>
      <c r="N191" s="10"/>
      <c r="R191" s="2"/>
    </row>
    <row r="192" spans="1:18" ht="17.25" thickTop="1" thickBot="1" x14ac:dyDescent="0.3">
      <c r="A192" s="64"/>
      <c r="B192" s="65"/>
      <c r="C192" s="28"/>
      <c r="D192" s="28"/>
      <c r="E192" s="29"/>
      <c r="F192" s="28"/>
      <c r="G192" s="28"/>
      <c r="H192" s="30"/>
      <c r="I192" s="31"/>
      <c r="J192" s="31"/>
      <c r="K192" s="28"/>
      <c r="L192" s="28"/>
      <c r="M192" s="32"/>
      <c r="N192" s="10"/>
      <c r="R192" s="2"/>
    </row>
    <row r="193" spans="1:18" ht="17.25" thickTop="1" thickBot="1" x14ac:dyDescent="0.3">
      <c r="A193" s="64" t="s">
        <v>19</v>
      </c>
      <c r="B193" s="65"/>
      <c r="C193" s="28">
        <f>+C19+C33+C47+C61+C75+C89+C103+C117+C131+C145+C159+C173+C187</f>
        <v>2376622</v>
      </c>
      <c r="D193" s="28">
        <f>+D19+D33+D47+D61+D75+D89+D103+D117+D131+D145+D159+D173+D187</f>
        <v>2466938</v>
      </c>
      <c r="E193" s="279">
        <f>(+C193-D193)/D193</f>
        <v>-3.6610567432177055E-2</v>
      </c>
      <c r="F193" s="28">
        <f>+F19+F33+F47+F61+F75+F89+F103+F117+F131+F145+F159+F173+F187</f>
        <v>1218289</v>
      </c>
      <c r="G193" s="28">
        <f>+G19+G33+G47+G61+G75+G89+G103+G117+G131+G145+G159+G173+G187</f>
        <v>1258470</v>
      </c>
      <c r="H193" s="30">
        <f>(+F193-G193)/G193</f>
        <v>-3.1928452803801438E-2</v>
      </c>
      <c r="I193" s="31">
        <f>K193/C193</f>
        <v>67.724100618440787</v>
      </c>
      <c r="J193" s="31">
        <f>K193/F193</f>
        <v>132.11527598131477</v>
      </c>
      <c r="K193" s="28">
        <f>+K19+K33+K47+K61+K75+K89+K103+K117+K131+K145+K159+K173+K187</f>
        <v>160954587.45999998</v>
      </c>
      <c r="L193" s="28">
        <f>+L19+L33+L47+L61+L75+L89+L103+L117+L131+L145+L159+L173+L187</f>
        <v>163539410.65000001</v>
      </c>
      <c r="M193" s="32">
        <f>(+K193-L193)/L193</f>
        <v>-1.5805506328575164E-2</v>
      </c>
      <c r="N193" s="10"/>
      <c r="R193" s="2"/>
    </row>
    <row r="194" spans="1:18" ht="15.75" thickTop="1" x14ac:dyDescent="0.2">
      <c r="A194" s="66"/>
      <c r="B194" s="67"/>
      <c r="C194" s="68"/>
      <c r="D194" s="67"/>
      <c r="E194" s="67"/>
      <c r="F194" s="67"/>
      <c r="G194" s="67"/>
      <c r="H194" s="67"/>
      <c r="I194" s="67"/>
      <c r="J194" s="67"/>
      <c r="K194" s="68"/>
      <c r="L194" s="68"/>
      <c r="M194" s="67"/>
      <c r="R194" s="2"/>
    </row>
    <row r="195" spans="1:18" ht="18.75" x14ac:dyDescent="0.3">
      <c r="A195" s="264" t="s">
        <v>20</v>
      </c>
      <c r="B195" s="70"/>
      <c r="C195" s="71"/>
      <c r="D195" s="71"/>
      <c r="E195" s="71"/>
      <c r="F195" s="71"/>
      <c r="G195" s="71"/>
      <c r="H195" s="71"/>
      <c r="I195" s="71"/>
      <c r="J195" s="71"/>
      <c r="K195" s="198"/>
      <c r="L195" s="198"/>
      <c r="M195" s="71"/>
      <c r="N195" s="2"/>
      <c r="O195" s="2"/>
      <c r="P195" s="2"/>
      <c r="Q195" s="2"/>
      <c r="R195" s="2"/>
    </row>
    <row r="196" spans="1:18" ht="18" x14ac:dyDescent="0.25">
      <c r="A196" s="69"/>
      <c r="B196" s="70"/>
      <c r="C196" s="71"/>
      <c r="D196" s="71"/>
      <c r="E196" s="71"/>
      <c r="F196" s="71"/>
      <c r="G196" s="71"/>
      <c r="H196" s="71"/>
      <c r="I196" s="71"/>
      <c r="J196" s="71"/>
      <c r="K196" s="198"/>
      <c r="L196" s="198"/>
      <c r="M196" s="71"/>
      <c r="N196" s="2"/>
      <c r="O196" s="2"/>
      <c r="P196" s="2"/>
      <c r="Q196" s="2"/>
      <c r="R196" s="2"/>
    </row>
    <row r="197" spans="1:18" ht="15.75" x14ac:dyDescent="0.25">
      <c r="A197" s="72"/>
      <c r="B197" s="73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73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73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73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73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73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73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73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73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73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4"/>
      <c r="N206" s="2"/>
      <c r="O206" s="2"/>
      <c r="P206" s="2"/>
      <c r="Q206" s="2"/>
      <c r="R206" s="2"/>
    </row>
    <row r="207" spans="1:18" x14ac:dyDescent="0.2">
      <c r="A207" s="2"/>
      <c r="B207" s="73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4"/>
      <c r="N207" s="2"/>
      <c r="O207" s="2"/>
      <c r="P207" s="2"/>
      <c r="Q207" s="2"/>
      <c r="R207" s="2"/>
    </row>
    <row r="208" spans="1:18" x14ac:dyDescent="0.2">
      <c r="A208" s="2"/>
      <c r="B208" s="70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4"/>
      <c r="N208" s="2"/>
      <c r="O208" s="2"/>
      <c r="P208" s="2"/>
      <c r="Q208" s="2"/>
      <c r="R208" s="2"/>
    </row>
    <row r="209" spans="1:18" ht="15.75" x14ac:dyDescent="0.25">
      <c r="A209" s="76"/>
      <c r="B209" s="70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ht="15.75" x14ac:dyDescent="0.25">
      <c r="A210" s="76"/>
      <c r="B210" s="70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ht="15.75" x14ac:dyDescent="0.25">
      <c r="A211" s="76"/>
      <c r="B211" s="70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70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ht="15.75" x14ac:dyDescent="0.25">
      <c r="A213" s="76"/>
      <c r="B213" s="73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73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73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77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77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77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77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77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77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77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77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77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ht="15.75" x14ac:dyDescent="0.25">
      <c r="A226" s="76"/>
      <c r="B226" s="2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ht="15.75" x14ac:dyDescent="0.25">
      <c r="A229" s="76"/>
      <c r="B229" s="2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ht="15.75" x14ac:dyDescent="0.25">
      <c r="A230" s="76"/>
      <c r="B230" s="2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ht="15.75" x14ac:dyDescent="0.25">
      <c r="A231" s="76"/>
      <c r="B231" s="77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77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77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77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77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77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77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77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77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77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77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77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ht="15.75" x14ac:dyDescent="0.25">
      <c r="A244" s="76"/>
      <c r="B244" s="2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ht="15.75" x14ac:dyDescent="0.25">
      <c r="A247" s="76"/>
      <c r="B247" s="77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77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77"/>
      <c r="C249" s="74"/>
      <c r="D249" s="74"/>
      <c r="E249" s="74"/>
      <c r="F249" s="74"/>
      <c r="G249" s="74"/>
      <c r="H249" s="74"/>
      <c r="I249" s="74"/>
      <c r="J249" s="74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74"/>
      <c r="D250" s="74"/>
      <c r="E250" s="74"/>
      <c r="F250" s="74"/>
      <c r="G250" s="74"/>
      <c r="H250" s="74"/>
      <c r="I250" s="74"/>
      <c r="J250" s="74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74"/>
      <c r="D251" s="74"/>
      <c r="E251" s="74"/>
      <c r="F251" s="74"/>
      <c r="G251" s="74"/>
      <c r="H251" s="74"/>
      <c r="I251" s="74"/>
      <c r="J251" s="74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74"/>
      <c r="D252" s="74"/>
      <c r="E252" s="74"/>
      <c r="F252" s="74"/>
      <c r="G252" s="74"/>
      <c r="H252" s="74"/>
      <c r="I252" s="74"/>
      <c r="J252" s="74"/>
      <c r="K252" s="192"/>
      <c r="L252" s="192"/>
      <c r="M252" s="75"/>
      <c r="N252" s="2"/>
      <c r="O252" s="2"/>
      <c r="P252" s="2"/>
      <c r="Q252" s="2"/>
      <c r="R252" s="2"/>
    </row>
    <row r="253" spans="1:18" ht="15.75" x14ac:dyDescent="0.25">
      <c r="A253" s="76"/>
      <c r="B253" s="2"/>
      <c r="C253" s="74"/>
      <c r="D253" s="74"/>
      <c r="E253" s="74"/>
      <c r="F253" s="74"/>
      <c r="G253" s="74"/>
      <c r="H253" s="74"/>
      <c r="I253" s="74"/>
      <c r="J253" s="74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74"/>
      <c r="D254" s="74"/>
      <c r="E254" s="74"/>
      <c r="F254" s="74"/>
      <c r="G254" s="74"/>
      <c r="H254" s="74"/>
      <c r="I254" s="74"/>
      <c r="J254" s="74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74"/>
      <c r="D255" s="74"/>
      <c r="E255" s="74"/>
      <c r="F255" s="74"/>
      <c r="G255" s="74"/>
      <c r="H255" s="74"/>
      <c r="I255" s="74"/>
      <c r="J255" s="74"/>
      <c r="K255" s="192"/>
      <c r="L255" s="192"/>
      <c r="M255" s="75"/>
      <c r="N255" s="2"/>
      <c r="O255" s="2"/>
      <c r="P255" s="2"/>
      <c r="Q255" s="2"/>
      <c r="R255" s="2"/>
    </row>
    <row r="256" spans="1:18" ht="15.75" x14ac:dyDescent="0.25">
      <c r="A256" s="76"/>
      <c r="B256" s="76"/>
      <c r="C256" s="74"/>
      <c r="D256" s="74"/>
      <c r="E256" s="74"/>
      <c r="F256" s="74"/>
      <c r="G256" s="74"/>
      <c r="H256" s="74"/>
      <c r="I256" s="74"/>
      <c r="J256" s="74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74"/>
      <c r="D257" s="74"/>
      <c r="E257" s="74"/>
      <c r="F257" s="74"/>
      <c r="G257" s="74"/>
      <c r="H257" s="74"/>
      <c r="I257" s="74"/>
      <c r="J257" s="74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74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74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74"/>
      <c r="D260" s="74"/>
      <c r="E260" s="74"/>
      <c r="F260" s="74"/>
      <c r="G260" s="74"/>
      <c r="H260" s="74"/>
      <c r="I260" s="74"/>
      <c r="J260" s="74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74"/>
      <c r="D261" s="74"/>
      <c r="E261" s="74"/>
      <c r="F261" s="74"/>
      <c r="G261" s="74"/>
      <c r="H261" s="74"/>
      <c r="I261" s="74"/>
      <c r="J261" s="74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74"/>
      <c r="D262" s="74"/>
      <c r="E262" s="74"/>
      <c r="F262" s="74"/>
      <c r="G262" s="74"/>
      <c r="H262" s="74"/>
      <c r="I262" s="74"/>
      <c r="J262" s="74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74"/>
      <c r="D263" s="74"/>
      <c r="E263" s="74"/>
      <c r="F263" s="74"/>
      <c r="G263" s="74"/>
      <c r="H263" s="74"/>
      <c r="I263" s="74"/>
      <c r="J263" s="74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74"/>
      <c r="D264" s="74"/>
      <c r="E264" s="74"/>
      <c r="F264" s="74"/>
      <c r="G264" s="74"/>
      <c r="H264" s="74"/>
      <c r="I264" s="74"/>
      <c r="J264" s="74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74"/>
      <c r="D265" s="74"/>
      <c r="E265" s="74"/>
      <c r="F265" s="74"/>
      <c r="G265" s="74"/>
      <c r="H265" s="74"/>
      <c r="I265" s="74"/>
      <c r="J265" s="74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74"/>
      <c r="D266" s="74"/>
      <c r="E266" s="74"/>
      <c r="F266" s="74"/>
      <c r="G266" s="74"/>
      <c r="H266" s="74"/>
      <c r="I266" s="74"/>
      <c r="J266" s="74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74"/>
      <c r="D267" s="74"/>
      <c r="E267" s="74"/>
      <c r="F267" s="74"/>
      <c r="G267" s="74"/>
      <c r="H267" s="74"/>
      <c r="I267" s="74"/>
      <c r="J267" s="74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74"/>
      <c r="D268" s="74"/>
      <c r="E268" s="74"/>
      <c r="F268" s="74"/>
      <c r="G268" s="74"/>
      <c r="H268" s="74"/>
      <c r="I268" s="74"/>
      <c r="J268" s="74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74"/>
      <c r="D269" s="74"/>
      <c r="E269" s="74"/>
      <c r="F269" s="74"/>
      <c r="G269" s="74"/>
      <c r="H269" s="74"/>
      <c r="I269" s="74"/>
      <c r="J269" s="74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74"/>
      <c r="D270" s="74"/>
      <c r="E270" s="74"/>
      <c r="F270" s="74"/>
      <c r="G270" s="74"/>
      <c r="H270" s="74"/>
      <c r="I270" s="74"/>
      <c r="J270" s="74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74"/>
      <c r="D271" s="74"/>
      <c r="E271" s="74"/>
      <c r="F271" s="74"/>
      <c r="G271" s="74"/>
      <c r="H271" s="74"/>
      <c r="I271" s="74"/>
      <c r="J271" s="74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74"/>
      <c r="D272" s="74"/>
      <c r="E272" s="74"/>
      <c r="F272" s="74"/>
      <c r="G272" s="74"/>
      <c r="H272" s="74"/>
      <c r="I272" s="74"/>
      <c r="J272" s="74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74"/>
      <c r="D273" s="74"/>
      <c r="E273" s="74"/>
      <c r="F273" s="74"/>
      <c r="G273" s="74"/>
      <c r="H273" s="74"/>
      <c r="I273" s="74"/>
      <c r="J273" s="74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74"/>
      <c r="D274" s="74"/>
      <c r="E274" s="74"/>
      <c r="F274" s="74"/>
      <c r="G274" s="74"/>
      <c r="H274" s="74"/>
      <c r="I274" s="74"/>
      <c r="J274" s="74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74"/>
      <c r="D275" s="74"/>
      <c r="E275" s="74"/>
      <c r="F275" s="74"/>
      <c r="G275" s="74"/>
      <c r="H275" s="74"/>
      <c r="I275" s="74"/>
      <c r="J275" s="74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74"/>
      <c r="D276" s="74"/>
      <c r="E276" s="74"/>
      <c r="F276" s="74"/>
      <c r="G276" s="74"/>
      <c r="H276" s="74"/>
      <c r="I276" s="74"/>
      <c r="J276" s="74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74"/>
      <c r="D277" s="74"/>
      <c r="E277" s="74"/>
      <c r="F277" s="74"/>
      <c r="G277" s="74"/>
      <c r="H277" s="74"/>
      <c r="I277" s="74"/>
      <c r="J277" s="74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74"/>
      <c r="D278" s="74"/>
      <c r="E278" s="74"/>
      <c r="F278" s="74"/>
      <c r="G278" s="74"/>
      <c r="H278" s="74"/>
      <c r="I278" s="74"/>
      <c r="J278" s="74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74"/>
      <c r="D279" s="74"/>
      <c r="E279" s="74"/>
      <c r="F279" s="74"/>
      <c r="G279" s="74"/>
      <c r="H279" s="74"/>
      <c r="I279" s="74"/>
      <c r="J279" s="74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74"/>
      <c r="D280" s="74"/>
      <c r="E280" s="74"/>
      <c r="F280" s="74"/>
      <c r="G280" s="74"/>
      <c r="H280" s="74"/>
      <c r="I280" s="74"/>
      <c r="J280" s="74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74"/>
      <c r="D281" s="74"/>
      <c r="E281" s="74"/>
      <c r="F281" s="74"/>
      <c r="G281" s="74"/>
      <c r="H281" s="74"/>
      <c r="I281" s="74"/>
      <c r="J281" s="74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74"/>
      <c r="D282" s="74"/>
      <c r="E282" s="74"/>
      <c r="F282" s="74"/>
      <c r="G282" s="74"/>
      <c r="H282" s="74"/>
      <c r="I282" s="74"/>
      <c r="J282" s="74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74"/>
      <c r="D283" s="74"/>
      <c r="E283" s="74"/>
      <c r="F283" s="74"/>
      <c r="G283" s="74"/>
      <c r="H283" s="74"/>
      <c r="I283" s="74"/>
      <c r="J283" s="74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74"/>
      <c r="D284" s="74"/>
      <c r="E284" s="74"/>
      <c r="F284" s="74"/>
      <c r="G284" s="74"/>
      <c r="H284" s="74"/>
      <c r="I284" s="74"/>
      <c r="J284" s="74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74"/>
      <c r="D285" s="74"/>
      <c r="E285" s="74"/>
      <c r="F285" s="74"/>
      <c r="G285" s="74"/>
      <c r="H285" s="74"/>
      <c r="I285" s="74"/>
      <c r="J285" s="74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74"/>
      <c r="D286" s="74"/>
      <c r="E286" s="74"/>
      <c r="F286" s="74"/>
      <c r="G286" s="74"/>
      <c r="H286" s="74"/>
      <c r="I286" s="74"/>
      <c r="J286" s="74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74"/>
      <c r="D287" s="74"/>
      <c r="E287" s="74"/>
      <c r="F287" s="74"/>
      <c r="G287" s="74"/>
      <c r="H287" s="74"/>
      <c r="I287" s="74"/>
      <c r="J287" s="74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74"/>
      <c r="D288" s="74"/>
      <c r="E288" s="74"/>
      <c r="F288" s="74"/>
      <c r="G288" s="74"/>
      <c r="H288" s="74"/>
      <c r="I288" s="74"/>
      <c r="J288" s="74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74"/>
      <c r="D289" s="74"/>
      <c r="E289" s="74"/>
      <c r="F289" s="74"/>
      <c r="G289" s="74"/>
      <c r="H289" s="74"/>
      <c r="I289" s="74"/>
      <c r="J289" s="74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74"/>
      <c r="D290" s="74"/>
      <c r="E290" s="74"/>
      <c r="F290" s="74"/>
      <c r="G290" s="74"/>
      <c r="H290" s="74"/>
      <c r="I290" s="74"/>
      <c r="J290" s="74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74"/>
      <c r="D291" s="74"/>
      <c r="E291" s="74"/>
      <c r="F291" s="74"/>
      <c r="G291" s="74"/>
      <c r="H291" s="74"/>
      <c r="I291" s="74"/>
      <c r="J291" s="74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74"/>
      <c r="D292" s="74"/>
      <c r="E292" s="74"/>
      <c r="F292" s="74"/>
      <c r="G292" s="74"/>
      <c r="H292" s="74"/>
      <c r="I292" s="74"/>
      <c r="J292" s="74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74"/>
      <c r="D293" s="74"/>
      <c r="E293" s="74"/>
      <c r="F293" s="74"/>
      <c r="G293" s="74"/>
      <c r="H293" s="74"/>
      <c r="I293" s="74"/>
      <c r="J293" s="74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74"/>
      <c r="D294" s="74"/>
      <c r="E294" s="74"/>
      <c r="F294" s="74"/>
      <c r="G294" s="74"/>
      <c r="H294" s="74"/>
      <c r="I294" s="74"/>
      <c r="J294" s="74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74"/>
      <c r="D295" s="74"/>
      <c r="E295" s="74"/>
      <c r="F295" s="74"/>
      <c r="G295" s="74"/>
      <c r="H295" s="74"/>
      <c r="I295" s="74"/>
      <c r="J295" s="74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74"/>
      <c r="D296" s="74"/>
      <c r="E296" s="74"/>
      <c r="F296" s="74"/>
      <c r="G296" s="74"/>
      <c r="H296" s="74"/>
      <c r="I296" s="74"/>
      <c r="J296" s="74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74"/>
      <c r="D297" s="74"/>
      <c r="E297" s="74"/>
      <c r="F297" s="74"/>
      <c r="G297" s="74"/>
      <c r="H297" s="74"/>
      <c r="I297" s="74"/>
      <c r="J297" s="74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74"/>
      <c r="D298" s="74"/>
      <c r="E298" s="74"/>
      <c r="F298" s="74"/>
      <c r="G298" s="74"/>
      <c r="H298" s="74"/>
      <c r="I298" s="74"/>
      <c r="J298" s="74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74"/>
      <c r="D299" s="74"/>
      <c r="E299" s="74"/>
      <c r="F299" s="74"/>
      <c r="G299" s="74"/>
      <c r="H299" s="74"/>
      <c r="I299" s="74"/>
      <c r="J299" s="74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74"/>
      <c r="D300" s="74"/>
      <c r="E300" s="74"/>
      <c r="F300" s="74"/>
      <c r="G300" s="74"/>
      <c r="H300" s="74"/>
      <c r="I300" s="74"/>
      <c r="J300" s="74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74"/>
      <c r="D301" s="74"/>
      <c r="E301" s="74"/>
      <c r="F301" s="74"/>
      <c r="G301" s="74"/>
      <c r="H301" s="74"/>
      <c r="I301" s="74"/>
      <c r="J301" s="74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74"/>
      <c r="D302" s="74"/>
      <c r="E302" s="74"/>
      <c r="F302" s="74"/>
      <c r="G302" s="74"/>
      <c r="H302" s="74"/>
      <c r="I302" s="74"/>
      <c r="J302" s="74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74"/>
      <c r="D303" s="74"/>
      <c r="E303" s="74"/>
      <c r="F303" s="74"/>
      <c r="G303" s="74"/>
      <c r="H303" s="74"/>
      <c r="I303" s="74"/>
      <c r="J303" s="74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74"/>
      <c r="D304" s="74"/>
      <c r="E304" s="74"/>
      <c r="F304" s="74"/>
      <c r="G304" s="74"/>
      <c r="H304" s="74"/>
      <c r="I304" s="74"/>
      <c r="J304" s="74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74"/>
      <c r="D305" s="74"/>
      <c r="E305" s="74"/>
      <c r="F305" s="74"/>
      <c r="G305" s="74"/>
      <c r="H305" s="74"/>
      <c r="I305" s="74"/>
      <c r="J305" s="74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74"/>
      <c r="D306" s="74"/>
      <c r="E306" s="74"/>
      <c r="F306" s="74"/>
      <c r="G306" s="74"/>
      <c r="H306" s="74"/>
      <c r="I306" s="74"/>
      <c r="J306" s="74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74"/>
      <c r="D307" s="74"/>
      <c r="E307" s="74"/>
      <c r="F307" s="74"/>
      <c r="G307" s="74"/>
      <c r="H307" s="74"/>
      <c r="I307" s="74"/>
      <c r="J307" s="74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74"/>
      <c r="D308" s="74"/>
      <c r="E308" s="74"/>
      <c r="F308" s="74"/>
      <c r="G308" s="74"/>
      <c r="H308" s="74"/>
      <c r="I308" s="74"/>
      <c r="J308" s="74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74"/>
      <c r="D309" s="74"/>
      <c r="E309" s="74"/>
      <c r="F309" s="74"/>
      <c r="G309" s="74"/>
      <c r="H309" s="74"/>
      <c r="I309" s="74"/>
      <c r="J309" s="74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74"/>
      <c r="D310" s="74"/>
      <c r="E310" s="74"/>
      <c r="F310" s="74"/>
      <c r="G310" s="74"/>
      <c r="H310" s="74"/>
      <c r="I310" s="74"/>
      <c r="J310" s="74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74"/>
      <c r="D311" s="74"/>
      <c r="E311" s="74"/>
      <c r="F311" s="74"/>
      <c r="G311" s="74"/>
      <c r="H311" s="74"/>
      <c r="I311" s="74"/>
      <c r="J311" s="74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74"/>
      <c r="D312" s="74"/>
      <c r="E312" s="74"/>
      <c r="F312" s="74"/>
      <c r="G312" s="74"/>
      <c r="H312" s="74"/>
      <c r="I312" s="74"/>
      <c r="J312" s="74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74"/>
      <c r="D313" s="74"/>
      <c r="E313" s="74"/>
      <c r="F313" s="74"/>
      <c r="G313" s="74"/>
      <c r="H313" s="74"/>
      <c r="I313" s="74"/>
      <c r="J313" s="74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74"/>
      <c r="D314" s="74"/>
      <c r="E314" s="74"/>
      <c r="F314" s="74"/>
      <c r="G314" s="74"/>
      <c r="H314" s="74"/>
      <c r="I314" s="74"/>
      <c r="J314" s="74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74"/>
      <c r="D315" s="74"/>
      <c r="E315" s="74"/>
      <c r="F315" s="74"/>
      <c r="G315" s="74"/>
      <c r="H315" s="74"/>
      <c r="I315" s="74"/>
      <c r="J315" s="74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74"/>
      <c r="D316" s="74"/>
      <c r="E316" s="74"/>
      <c r="F316" s="74"/>
      <c r="G316" s="74"/>
      <c r="H316" s="74"/>
      <c r="I316" s="74"/>
      <c r="J316" s="74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74"/>
      <c r="D317" s="74"/>
      <c r="E317" s="74"/>
      <c r="F317" s="74"/>
      <c r="G317" s="74"/>
      <c r="H317" s="74"/>
      <c r="I317" s="74"/>
      <c r="J317" s="74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74"/>
      <c r="D318" s="74"/>
      <c r="E318" s="74"/>
      <c r="F318" s="74"/>
      <c r="G318" s="74"/>
      <c r="H318" s="74"/>
      <c r="I318" s="74"/>
      <c r="J318" s="74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74"/>
      <c r="D319" s="74"/>
      <c r="E319" s="74"/>
      <c r="F319" s="74"/>
      <c r="G319" s="74"/>
      <c r="H319" s="74"/>
      <c r="I319" s="74"/>
      <c r="J319" s="74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74"/>
      <c r="D320" s="74"/>
      <c r="E320" s="74"/>
      <c r="F320" s="74"/>
      <c r="G320" s="74"/>
      <c r="H320" s="74"/>
      <c r="I320" s="74"/>
      <c r="J320" s="74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74"/>
      <c r="D321" s="74"/>
      <c r="E321" s="74"/>
      <c r="F321" s="74"/>
      <c r="G321" s="74"/>
      <c r="H321" s="74"/>
      <c r="I321" s="74"/>
      <c r="J321" s="74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74"/>
      <c r="D322" s="74"/>
      <c r="E322" s="74"/>
      <c r="F322" s="74"/>
      <c r="G322" s="74"/>
      <c r="H322" s="74"/>
      <c r="I322" s="74"/>
      <c r="J322" s="74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74"/>
      <c r="D323" s="74"/>
      <c r="E323" s="74"/>
      <c r="F323" s="74"/>
      <c r="G323" s="74"/>
      <c r="H323" s="74"/>
      <c r="I323" s="74"/>
      <c r="J323" s="74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74"/>
      <c r="D324" s="74"/>
      <c r="E324" s="74"/>
      <c r="F324" s="74"/>
      <c r="G324" s="74"/>
      <c r="H324" s="74"/>
      <c r="I324" s="74"/>
      <c r="J324" s="74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74"/>
      <c r="D325" s="74"/>
      <c r="E325" s="74"/>
      <c r="F325" s="74"/>
      <c r="G325" s="74"/>
      <c r="H325" s="74"/>
      <c r="I325" s="74"/>
      <c r="J325" s="74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74"/>
      <c r="D326" s="74"/>
      <c r="E326" s="74"/>
      <c r="F326" s="74"/>
      <c r="G326" s="74"/>
      <c r="H326" s="74"/>
      <c r="I326" s="74"/>
      <c r="J326" s="74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74"/>
      <c r="D327" s="74"/>
      <c r="E327" s="74"/>
      <c r="F327" s="74"/>
      <c r="G327" s="74"/>
      <c r="H327" s="74"/>
      <c r="I327" s="74"/>
      <c r="J327" s="74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74"/>
      <c r="D328" s="74"/>
      <c r="E328" s="74"/>
      <c r="F328" s="74"/>
      <c r="G328" s="74"/>
      <c r="H328" s="74"/>
      <c r="I328" s="74"/>
      <c r="J328" s="74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74"/>
      <c r="D329" s="74"/>
      <c r="E329" s="74"/>
      <c r="F329" s="74"/>
      <c r="G329" s="74"/>
      <c r="H329" s="74"/>
      <c r="I329" s="74"/>
      <c r="J329" s="74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74"/>
      <c r="D330" s="74"/>
      <c r="E330" s="74"/>
      <c r="F330" s="74"/>
      <c r="G330" s="74"/>
      <c r="H330" s="74"/>
      <c r="I330" s="74"/>
      <c r="J330" s="74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74"/>
      <c r="D331" s="74"/>
      <c r="E331" s="74"/>
      <c r="F331" s="74"/>
      <c r="G331" s="74"/>
      <c r="H331" s="74"/>
      <c r="I331" s="74"/>
      <c r="J331" s="74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74"/>
      <c r="D332" s="74"/>
      <c r="E332" s="74"/>
      <c r="F332" s="74"/>
      <c r="G332" s="74"/>
      <c r="H332" s="74"/>
      <c r="I332" s="74"/>
      <c r="J332" s="74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74"/>
      <c r="D333" s="74"/>
      <c r="E333" s="74"/>
      <c r="F333" s="74"/>
      <c r="G333" s="74"/>
      <c r="H333" s="74"/>
      <c r="I333" s="74"/>
      <c r="J333" s="74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74"/>
      <c r="D334" s="74"/>
      <c r="E334" s="74"/>
      <c r="F334" s="74"/>
      <c r="G334" s="74"/>
      <c r="H334" s="74"/>
      <c r="I334" s="74"/>
      <c r="J334" s="74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74"/>
      <c r="D335" s="74"/>
      <c r="E335" s="74"/>
      <c r="F335" s="74"/>
      <c r="G335" s="74"/>
      <c r="H335" s="74"/>
      <c r="I335" s="74"/>
      <c r="J335" s="74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74"/>
      <c r="D336" s="74"/>
      <c r="E336" s="74"/>
      <c r="F336" s="74"/>
      <c r="G336" s="74"/>
      <c r="H336" s="74"/>
      <c r="I336" s="74"/>
      <c r="J336" s="74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74"/>
      <c r="D337" s="74"/>
      <c r="E337" s="74"/>
      <c r="F337" s="74"/>
      <c r="G337" s="74"/>
      <c r="H337" s="74"/>
      <c r="I337" s="74"/>
      <c r="J337" s="74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74"/>
      <c r="D338" s="74"/>
      <c r="E338" s="74"/>
      <c r="F338" s="74"/>
      <c r="G338" s="74"/>
      <c r="H338" s="74"/>
      <c r="I338" s="74"/>
      <c r="J338" s="74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74"/>
      <c r="D339" s="74"/>
      <c r="E339" s="74"/>
      <c r="F339" s="74"/>
      <c r="G339" s="74"/>
      <c r="H339" s="74"/>
      <c r="I339" s="74"/>
      <c r="J339" s="74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2"/>
      <c r="L375" s="192"/>
      <c r="M375" s="75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2"/>
      <c r="L376" s="192"/>
      <c r="M376" s="75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2"/>
      <c r="L377" s="192"/>
      <c r="M377" s="75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2"/>
      <c r="L378" s="192"/>
      <c r="M378" s="75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2"/>
      <c r="L379" s="192"/>
      <c r="M379" s="75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2"/>
      <c r="L380" s="192"/>
      <c r="M380" s="75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2"/>
      <c r="L381" s="192"/>
      <c r="M381" s="75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2"/>
      <c r="L382" s="192"/>
      <c r="M382" s="75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2"/>
      <c r="L383" s="192"/>
      <c r="M383" s="75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2"/>
      <c r="L384" s="192"/>
      <c r="M384" s="75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2"/>
      <c r="L385" s="192"/>
      <c r="M385" s="75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2"/>
      <c r="L386" s="192"/>
      <c r="M386" s="75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2"/>
      <c r="L387" s="192"/>
      <c r="M387" s="75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2"/>
      <c r="L388" s="192"/>
      <c r="M388" s="75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2"/>
      <c r="L389" s="192"/>
      <c r="M389" s="75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2"/>
      <c r="L390" s="192"/>
      <c r="M390" s="75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2"/>
      <c r="L391" s="192"/>
      <c r="M391" s="75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2"/>
      <c r="L392" s="192"/>
      <c r="M392" s="75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2"/>
      <c r="L393" s="192"/>
      <c r="M393" s="75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2"/>
      <c r="L394" s="192"/>
      <c r="M394" s="75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2"/>
      <c r="L395" s="192"/>
      <c r="M395" s="75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2"/>
      <c r="L396" s="192"/>
      <c r="M396" s="75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2"/>
      <c r="L397" s="192"/>
      <c r="M397" s="75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2"/>
      <c r="L398" s="192"/>
      <c r="M398" s="75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2"/>
      <c r="L399" s="192"/>
      <c r="M399" s="75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2"/>
      <c r="L400" s="192"/>
      <c r="M400" s="75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2"/>
      <c r="L401" s="192"/>
      <c r="M401" s="75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2"/>
      <c r="L402" s="192"/>
      <c r="M402" s="75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2"/>
      <c r="L403" s="192"/>
      <c r="M403" s="75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2"/>
      <c r="L404" s="192"/>
      <c r="M404" s="75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2"/>
      <c r="L405" s="192"/>
      <c r="M405" s="75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2"/>
      <c r="L406" s="192"/>
      <c r="M406" s="75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2"/>
      <c r="L407" s="192"/>
      <c r="M407" s="75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2"/>
      <c r="L408" s="192"/>
      <c r="M408" s="75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2"/>
      <c r="L409" s="192"/>
      <c r="M409" s="75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2"/>
      <c r="L410" s="192"/>
      <c r="M410" s="75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2"/>
      <c r="L411" s="192"/>
      <c r="M411" s="75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2"/>
      <c r="L412" s="192"/>
      <c r="M412" s="75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2"/>
      <c r="L413" s="192"/>
      <c r="M413" s="75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2"/>
      <c r="L414" s="192"/>
      <c r="M414" s="75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2"/>
      <c r="L415" s="192"/>
      <c r="M415" s="75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2"/>
      <c r="L416" s="192"/>
      <c r="M416" s="75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2"/>
      <c r="L417" s="192"/>
      <c r="M417" s="75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2"/>
      <c r="L418" s="192"/>
      <c r="M418" s="75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2"/>
      <c r="L419" s="192"/>
      <c r="M419" s="75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2"/>
      <c r="L420" s="192"/>
      <c r="M420" s="75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2"/>
      <c r="L421" s="192"/>
      <c r="M421" s="75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2"/>
      <c r="L422" s="192"/>
      <c r="M422" s="75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2"/>
      <c r="L423" s="192"/>
      <c r="M423" s="75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2"/>
      <c r="L424" s="192"/>
      <c r="M424" s="75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2"/>
      <c r="L425" s="192"/>
      <c r="M425" s="75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2"/>
      <c r="L426" s="192"/>
      <c r="M426" s="75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92"/>
      <c r="L427" s="192"/>
      <c r="M427" s="75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92"/>
      <c r="L428" s="192"/>
      <c r="M428" s="75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92"/>
      <c r="L429" s="192"/>
      <c r="M429" s="75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92"/>
      <c r="L430" s="192"/>
      <c r="M430" s="75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92"/>
      <c r="L431" s="192"/>
      <c r="M431" s="75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92"/>
      <c r="L432" s="192"/>
      <c r="M432" s="75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92"/>
      <c r="L433" s="192"/>
      <c r="M433" s="75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92"/>
      <c r="L434" s="192"/>
      <c r="M434" s="75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92"/>
      <c r="L435" s="192"/>
      <c r="M435" s="75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92"/>
      <c r="L436" s="192"/>
      <c r="M436" s="75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92"/>
      <c r="L437" s="192"/>
      <c r="M437" s="75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92"/>
      <c r="L438" s="192"/>
      <c r="M438" s="75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92"/>
      <c r="L439" s="192"/>
      <c r="M439" s="75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92"/>
      <c r="L440" s="192"/>
      <c r="M440" s="75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92"/>
      <c r="L441" s="192"/>
      <c r="M441" s="75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92"/>
      <c r="L442" s="192"/>
      <c r="M442" s="75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92"/>
      <c r="L443" s="192"/>
      <c r="M443" s="75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92"/>
      <c r="L444" s="192"/>
      <c r="M444" s="75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92"/>
      <c r="L445" s="192"/>
      <c r="M445" s="75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92"/>
      <c r="L446" s="192"/>
      <c r="M446" s="75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92"/>
      <c r="L447" s="192"/>
      <c r="M447" s="75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92"/>
      <c r="L448" s="192"/>
      <c r="M448" s="75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92"/>
      <c r="L449" s="192"/>
      <c r="M449" s="75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92"/>
      <c r="L450" s="192"/>
      <c r="M450" s="75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92"/>
      <c r="L451" s="192"/>
      <c r="M451" s="75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92"/>
      <c r="L452" s="192"/>
      <c r="M452" s="75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92"/>
      <c r="L453" s="192"/>
      <c r="M453" s="75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92"/>
      <c r="L454" s="192"/>
      <c r="M454" s="75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92"/>
      <c r="L455" s="192"/>
      <c r="M455" s="75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92"/>
      <c r="L456" s="192"/>
      <c r="M456" s="75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92"/>
      <c r="L457" s="192"/>
      <c r="M457" s="75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92"/>
      <c r="L458" s="192"/>
      <c r="M458" s="75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92"/>
      <c r="L459" s="192"/>
      <c r="M459" s="75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92"/>
      <c r="L460" s="192"/>
      <c r="M460" s="75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92"/>
      <c r="L461" s="192"/>
      <c r="M461" s="75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92"/>
      <c r="L462" s="192"/>
      <c r="M462" s="75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92"/>
      <c r="L463" s="192"/>
      <c r="M463" s="75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92"/>
      <c r="L464" s="192"/>
      <c r="M464" s="75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92"/>
      <c r="L465" s="192"/>
      <c r="M465" s="75"/>
      <c r="N465" s="2"/>
      <c r="O465" s="2"/>
      <c r="P465" s="2"/>
      <c r="Q465" s="2"/>
      <c r="R465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4" manualBreakCount="4">
    <brk id="49" max="12" man="1"/>
    <brk id="91" max="12" man="1"/>
    <brk id="133" max="12" man="1"/>
    <brk id="17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3" sqref="A3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8867187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10.109375" style="80" customWidth="1"/>
    <col min="15" max="15" width="13.4414062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74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62</v>
      </c>
      <c r="E7" s="275" t="s">
        <v>55</v>
      </c>
      <c r="F7" s="84" t="s">
        <v>60</v>
      </c>
      <c r="G7" s="84" t="s">
        <v>63</v>
      </c>
      <c r="H7" s="84" t="s">
        <v>68</v>
      </c>
      <c r="I7" s="84" t="s">
        <v>70</v>
      </c>
      <c r="J7" s="84" t="s">
        <v>25</v>
      </c>
      <c r="K7" s="84" t="s">
        <v>52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DATE(2022,7,1)</f>
        <v>44743</v>
      </c>
      <c r="B10" s="89">
        <f>'MONTHLY STATS'!$C$9*2</f>
        <v>435886</v>
      </c>
      <c r="C10" s="89">
        <f>'MONTHLY STATS'!$C$23*2</f>
        <v>229430</v>
      </c>
      <c r="D10" s="89">
        <f>'MONTHLY STATS'!$C$37*2</f>
        <v>113088</v>
      </c>
      <c r="E10" s="89">
        <f>'MONTHLY STATS'!$C$51*2</f>
        <v>655394</v>
      </c>
      <c r="F10" s="89">
        <f>'MONTHLY STATS'!$C$65*2</f>
        <v>438260</v>
      </c>
      <c r="G10" s="89">
        <f>'MONTHLY STATS'!$C$79*2</f>
        <v>190536</v>
      </c>
      <c r="H10" s="89">
        <f>'MONTHLY STATS'!$C$93*2</f>
        <v>441192</v>
      </c>
      <c r="I10" s="89">
        <f>'MONTHLY STATS'!$C$107*2</f>
        <v>452600</v>
      </c>
      <c r="J10" s="89">
        <f>'MONTHLY STATS'!$C$121*2</f>
        <v>542674</v>
      </c>
      <c r="K10" s="89">
        <f>'MONTHLY STATS'!$C$135*2</f>
        <v>717812</v>
      </c>
      <c r="L10" s="89">
        <f>'MONTHLY STATS'!$C$149*2</f>
        <v>91486</v>
      </c>
      <c r="M10" s="89">
        <f>'MONTHLY STATS'!$C$163*2</f>
        <v>753070</v>
      </c>
      <c r="N10" s="89">
        <f>'MONTHLY STATS'!$C$177*2</f>
        <v>137556</v>
      </c>
      <c r="O10" s="90">
        <f t="shared" ref="O10:O15" si="0">SUM(B10:N10)</f>
        <v>5198984</v>
      </c>
      <c r="P10" s="83"/>
    </row>
    <row r="11" spans="1:16" ht="15.75" x14ac:dyDescent="0.25">
      <c r="A11" s="88">
        <f>DATE(2022,8,1)</f>
        <v>44774</v>
      </c>
      <c r="B11" s="89">
        <f>'MONTHLY STATS'!$C$10*2</f>
        <v>398888</v>
      </c>
      <c r="C11" s="89">
        <f>'MONTHLY STATS'!$C$24*2</f>
        <v>207568</v>
      </c>
      <c r="D11" s="89">
        <f>'MONTHLY STATS'!$C$38*2</f>
        <v>99338</v>
      </c>
      <c r="E11" s="89">
        <f>'MONTHLY STATS'!$C$52*2</f>
        <v>605550</v>
      </c>
      <c r="F11" s="89">
        <f>'MONTHLY STATS'!$C$66*2</f>
        <v>408762</v>
      </c>
      <c r="G11" s="89">
        <f>'MONTHLY STATS'!$C$80*2</f>
        <v>170414</v>
      </c>
      <c r="H11" s="89">
        <f>'MONTHLY STATS'!$C$94*2</f>
        <v>408416</v>
      </c>
      <c r="I11" s="89">
        <f>'MONTHLY STATS'!$C$108*2</f>
        <v>465170</v>
      </c>
      <c r="J11" s="89">
        <f>'MONTHLY STATS'!$C$122*2</f>
        <v>489244</v>
      </c>
      <c r="K11" s="89">
        <f>'MONTHLY STATS'!$C$136*2</f>
        <v>664780</v>
      </c>
      <c r="L11" s="89">
        <f>'MONTHLY STATS'!$C$150*2</f>
        <v>81956</v>
      </c>
      <c r="M11" s="89">
        <f>'MONTHLY STATS'!$C$164*2</f>
        <v>697450</v>
      </c>
      <c r="N11" s="89">
        <f>'MONTHLY STATS'!$C$178*2</f>
        <v>123464</v>
      </c>
      <c r="O11" s="90">
        <f t="shared" si="0"/>
        <v>4821000</v>
      </c>
      <c r="P11" s="83"/>
    </row>
    <row r="12" spans="1:16" ht="15.75" x14ac:dyDescent="0.25">
      <c r="A12" s="88">
        <f>DATE(2022,9,1)</f>
        <v>44805</v>
      </c>
      <c r="B12" s="89">
        <f>'MONTHLY STATS'!$C$11*2</f>
        <v>381706</v>
      </c>
      <c r="C12" s="89">
        <f>'MONTHLY STATS'!$C$25*2</f>
        <v>215022</v>
      </c>
      <c r="D12" s="89">
        <f>'MONTHLY STATS'!$C$39*2</f>
        <v>101046</v>
      </c>
      <c r="E12" s="89">
        <f>'MONTHLY STATS'!$C$53*2</f>
        <v>599172</v>
      </c>
      <c r="F12" s="89">
        <f>'MONTHLY STATS'!$C$67*2</f>
        <v>391758</v>
      </c>
      <c r="G12" s="89">
        <f>'MONTHLY STATS'!$C$81*2</f>
        <v>168642</v>
      </c>
      <c r="H12" s="89">
        <f>'MONTHLY STATS'!$C$95*2</f>
        <v>405278</v>
      </c>
      <c r="I12" s="89">
        <f>'MONTHLY STATS'!$C$109*2</f>
        <v>459598</v>
      </c>
      <c r="J12" s="89">
        <f>'MONTHLY STATS'!$C$123*2</f>
        <v>476474</v>
      </c>
      <c r="K12" s="89">
        <f>'MONTHLY STATS'!$C$137*2</f>
        <v>666202</v>
      </c>
      <c r="L12" s="89">
        <f>'MONTHLY STATS'!$C$151*2</f>
        <v>83392</v>
      </c>
      <c r="M12" s="89">
        <f>'MONTHLY STATS'!$C$165*2</f>
        <v>703546</v>
      </c>
      <c r="N12" s="89">
        <f>'MONTHLY STATS'!$C$179*2</f>
        <v>125576</v>
      </c>
      <c r="O12" s="90">
        <f t="shared" si="0"/>
        <v>4777412</v>
      </c>
      <c r="P12" s="83"/>
    </row>
    <row r="13" spans="1:16" ht="15.75" x14ac:dyDescent="0.25">
      <c r="A13" s="88">
        <f>DATE(2022,10,1)</f>
        <v>44835</v>
      </c>
      <c r="B13" s="89">
        <f>'MONTHLY STATS'!$C$12*2</f>
        <v>383996</v>
      </c>
      <c r="C13" s="89">
        <f>'MONTHLY STATS'!$C$26*2</f>
        <v>208980</v>
      </c>
      <c r="D13" s="89">
        <f>'MONTHLY STATS'!$C$40*2</f>
        <v>94946</v>
      </c>
      <c r="E13" s="89">
        <f>'MONTHLY STATS'!$C$54*2</f>
        <v>561802</v>
      </c>
      <c r="F13" s="89">
        <f>'MONTHLY STATS'!$C$68*2</f>
        <v>395358</v>
      </c>
      <c r="G13" s="89">
        <f>'MONTHLY STATS'!$C$82*2</f>
        <v>170454</v>
      </c>
      <c r="H13" s="89">
        <f>'MONTHLY STATS'!$C$96*2</f>
        <v>395610</v>
      </c>
      <c r="I13" s="89">
        <f>'MONTHLY STATS'!$C$110*2</f>
        <v>425400</v>
      </c>
      <c r="J13" s="89">
        <f>'MONTHLY STATS'!$C$124*2</f>
        <v>486336</v>
      </c>
      <c r="K13" s="89">
        <f>'MONTHLY STATS'!$C$138*2</f>
        <v>674528</v>
      </c>
      <c r="L13" s="89">
        <f>'MONTHLY STATS'!$C$152*2</f>
        <v>81426</v>
      </c>
      <c r="M13" s="89">
        <f>'MONTHLY STATS'!$C$166*2</f>
        <v>706822</v>
      </c>
      <c r="N13" s="89">
        <f>'MONTHLY STATS'!$C$180*2</f>
        <v>124844</v>
      </c>
      <c r="O13" s="90">
        <f t="shared" si="0"/>
        <v>4710502</v>
      </c>
      <c r="P13" s="83"/>
    </row>
    <row r="14" spans="1:16" ht="15.75" x14ac:dyDescent="0.25">
      <c r="A14" s="88">
        <f>DATE(2022,11,1)</f>
        <v>44866</v>
      </c>
      <c r="B14" s="89">
        <f>'MONTHLY STATS'!$C$13*2</f>
        <v>362658</v>
      </c>
      <c r="C14" s="89">
        <f>'MONTHLY STATS'!$C$27*2</f>
        <v>187356</v>
      </c>
      <c r="D14" s="89">
        <f>'MONTHLY STATS'!$C$41*2</f>
        <v>78850</v>
      </c>
      <c r="E14" s="89">
        <f>'MONTHLY STATS'!$C$55*2</f>
        <v>555404</v>
      </c>
      <c r="F14" s="89">
        <f>'MONTHLY STATS'!$C$69*2</f>
        <v>383954</v>
      </c>
      <c r="G14" s="89">
        <f>'MONTHLY STATS'!$C$83*2</f>
        <v>153436</v>
      </c>
      <c r="H14" s="89">
        <f>'MONTHLY STATS'!$C$97*2</f>
        <v>404852</v>
      </c>
      <c r="I14" s="89">
        <f>'MONTHLY STATS'!$C$111*2</f>
        <v>383016</v>
      </c>
      <c r="J14" s="89">
        <f>'MONTHLY STATS'!$C$125*2</f>
        <v>436800</v>
      </c>
      <c r="K14" s="89">
        <f>'MONTHLY STATS'!$C$139*2</f>
        <v>671952</v>
      </c>
      <c r="L14" s="89">
        <f>'MONTHLY STATS'!$C$153*2</f>
        <v>74466</v>
      </c>
      <c r="M14" s="89">
        <f>'MONTHLY STATS'!$C$167*2</f>
        <v>649894</v>
      </c>
      <c r="N14" s="89">
        <f>'MONTHLY STATS'!$C$181*2</f>
        <v>116012</v>
      </c>
      <c r="O14" s="90">
        <f t="shared" si="0"/>
        <v>4458650</v>
      </c>
      <c r="P14" s="83"/>
    </row>
    <row r="15" spans="1:16" ht="15.75" x14ac:dyDescent="0.25">
      <c r="A15" s="88">
        <f>DATE(2022,12,1)</f>
        <v>44896</v>
      </c>
      <c r="B15" s="89">
        <f>'MONTHLY STATS'!$C$14*2</f>
        <v>396342</v>
      </c>
      <c r="C15" s="89">
        <f>'MONTHLY STATS'!$C$28*2</f>
        <v>204072</v>
      </c>
      <c r="D15" s="89">
        <f>'MONTHLY STATS'!$C$42*2</f>
        <v>86630</v>
      </c>
      <c r="E15" s="89">
        <f>'MONTHLY STATS'!$C$56*2</f>
        <v>605020</v>
      </c>
      <c r="F15" s="89">
        <f>'MONTHLY STATS'!$C$70*2</f>
        <v>386490</v>
      </c>
      <c r="G15" s="89">
        <f>'MONTHLY STATS'!$C$84*2</f>
        <v>179306</v>
      </c>
      <c r="H15" s="89">
        <f>'MONTHLY STATS'!$C$98*2</f>
        <v>446446</v>
      </c>
      <c r="I15" s="89">
        <f>'MONTHLY STATS'!$C$112*2</f>
        <v>428294</v>
      </c>
      <c r="J15" s="89">
        <f>'MONTHLY STATS'!$C$126*2</f>
        <v>501530</v>
      </c>
      <c r="K15" s="89">
        <f>'MONTHLY STATS'!$C$140*2</f>
        <v>731152</v>
      </c>
      <c r="L15" s="89">
        <f>'MONTHLY STATS'!$C$154*2</f>
        <v>77776</v>
      </c>
      <c r="M15" s="89">
        <f>'MONTHLY STATS'!$C$168*2</f>
        <v>725434</v>
      </c>
      <c r="N15" s="89">
        <f>'MONTHLY STATS'!$C$182*2</f>
        <v>128512</v>
      </c>
      <c r="O15" s="90">
        <f t="shared" si="0"/>
        <v>4897004</v>
      </c>
      <c r="P15" s="83"/>
    </row>
    <row r="16" spans="1:16" ht="15.75" x14ac:dyDescent="0.25">
      <c r="A16" s="88">
        <f>DATE(2023,1,1)</f>
        <v>44927</v>
      </c>
      <c r="B16" s="89">
        <f>'MONTHLY STATS'!$C$15*2</f>
        <v>394006</v>
      </c>
      <c r="C16" s="89">
        <f>'MONTHLY STATS'!$C$29*2</f>
        <v>196502</v>
      </c>
      <c r="D16" s="89">
        <f>'MONTHLY STATS'!$C$43*2</f>
        <v>101620</v>
      </c>
      <c r="E16" s="89">
        <f>'MONTHLY STATS'!$C$57*2</f>
        <v>607664</v>
      </c>
      <c r="F16" s="89">
        <f>'MONTHLY STATS'!$C$71*2</f>
        <v>373762</v>
      </c>
      <c r="G16" s="89">
        <f>'MONTHLY STATS'!$C$85*2</f>
        <v>168828</v>
      </c>
      <c r="H16" s="89">
        <f>'MONTHLY STATS'!$C$99*2</f>
        <v>430248</v>
      </c>
      <c r="I16" s="89">
        <f>'MONTHLY STATS'!$C$113*2</f>
        <v>407378</v>
      </c>
      <c r="J16" s="89">
        <f>'MONTHLY STATS'!$C$127*2</f>
        <v>485444</v>
      </c>
      <c r="K16" s="89">
        <f>'MONTHLY STATS'!$C$141*2</f>
        <v>684710</v>
      </c>
      <c r="L16" s="89">
        <f>'MONTHLY STATS'!$C$155*2</f>
        <v>79348</v>
      </c>
      <c r="M16" s="89">
        <f>'MONTHLY STATS'!$C$169*2</f>
        <v>687640</v>
      </c>
      <c r="N16" s="89">
        <f>'MONTHLY STATS'!$C$183*2</f>
        <v>118868</v>
      </c>
      <c r="O16" s="90">
        <f>SUM(B16:N16)</f>
        <v>4736018</v>
      </c>
      <c r="P16" s="83"/>
    </row>
    <row r="17" spans="1:16" ht="15.75" x14ac:dyDescent="0.25">
      <c r="A17" s="88">
        <f>DATE(2023,2,1)</f>
        <v>44958</v>
      </c>
      <c r="B17" s="89">
        <f>'MONTHLY STATS'!$C$16*2</f>
        <v>382576</v>
      </c>
      <c r="C17" s="89">
        <f>'MONTHLY STATS'!$C$30*2</f>
        <v>208520</v>
      </c>
      <c r="D17" s="89">
        <f>'MONTHLY STATS'!$C$44*2</f>
        <v>114614</v>
      </c>
      <c r="E17" s="89">
        <f>'MONTHLY STATS'!$C$58*2</f>
        <v>621012</v>
      </c>
      <c r="F17" s="89">
        <f>'MONTHLY STATS'!$C$72*2</f>
        <v>365396</v>
      </c>
      <c r="G17" s="89">
        <f>'MONTHLY STATS'!$C$86*2</f>
        <v>179058</v>
      </c>
      <c r="H17" s="89">
        <f>'MONTHLY STATS'!$C$100*2</f>
        <v>401592</v>
      </c>
      <c r="I17" s="89">
        <f>'MONTHLY STATS'!$C$114*2</f>
        <v>415856</v>
      </c>
      <c r="J17" s="89">
        <f>'MONTHLY STATS'!$C$128*2</f>
        <v>477836</v>
      </c>
      <c r="K17" s="89">
        <f>'MONTHLY STATS'!$C$142*2</f>
        <v>674256</v>
      </c>
      <c r="L17" s="89">
        <f>'MONTHLY STATS'!$C$156*2</f>
        <v>88516</v>
      </c>
      <c r="M17" s="89">
        <f>'MONTHLY STATS'!$C$170*2</f>
        <v>682072</v>
      </c>
      <c r="N17" s="89">
        <f>'MONTHLY STATS'!$C$184*2</f>
        <v>131774</v>
      </c>
      <c r="O17" s="90">
        <f>SUM(B17:N17)</f>
        <v>4743078</v>
      </c>
      <c r="P17" s="83"/>
    </row>
    <row r="18" spans="1:16" ht="15.75" x14ac:dyDescent="0.25">
      <c r="A18" s="88">
        <f>DATE(2023,3,1)</f>
        <v>44986</v>
      </c>
      <c r="B18" s="89">
        <f>'MONTHLY STATS'!$C$17*2</f>
        <v>435594</v>
      </c>
      <c r="C18" s="89">
        <f>'MONTHLY STATS'!$C$31*2</f>
        <v>218420</v>
      </c>
      <c r="D18" s="89">
        <f>'MONTHLY STATS'!$C$45*2</f>
        <v>125028</v>
      </c>
      <c r="E18" s="89">
        <f>'MONTHLY STATS'!$C$59*2</f>
        <v>701066</v>
      </c>
      <c r="F18" s="89">
        <f>'MONTHLY STATS'!$C$73*2</f>
        <v>424982</v>
      </c>
      <c r="G18" s="89">
        <f>'MONTHLY STATS'!$C$87*2</f>
        <v>194636</v>
      </c>
      <c r="H18" s="89">
        <f>'MONTHLY STATS'!$C$101*2</f>
        <v>450808</v>
      </c>
      <c r="I18" s="89">
        <f>'MONTHLY STATS'!$C$115*2</f>
        <v>463800</v>
      </c>
      <c r="J18" s="89">
        <f>'MONTHLY STATS'!$C$129*2</f>
        <v>551698</v>
      </c>
      <c r="K18" s="89">
        <f>'MONTHLY STATS'!$C$143*2</f>
        <v>757796</v>
      </c>
      <c r="L18" s="89">
        <f>'MONTHLY STATS'!$C$157*2</f>
        <v>93564</v>
      </c>
      <c r="M18" s="89">
        <f>'MONTHLY STATS'!$C$171*2</f>
        <v>715676</v>
      </c>
      <c r="N18" s="89">
        <f>'MONTHLY STATS'!$C$185*2</f>
        <v>150416</v>
      </c>
      <c r="O18" s="90">
        <f>SUM(B18:N18)</f>
        <v>5283484</v>
      </c>
      <c r="P18" s="83"/>
    </row>
    <row r="19" spans="1:16" ht="15.75" x14ac:dyDescent="0.25">
      <c r="A19" s="88">
        <f>DATE(2023,4,1)</f>
        <v>45017</v>
      </c>
      <c r="B19" s="89">
        <f>'MONTHLY STATS'!$C$18*2</f>
        <v>396132</v>
      </c>
      <c r="C19" s="89">
        <f>'MONTHLY STATS'!$C$32*2</f>
        <v>208910</v>
      </c>
      <c r="D19" s="89">
        <f>'MONTHLY STATS'!$C$46*2</f>
        <v>115776</v>
      </c>
      <c r="E19" s="89">
        <f>'MONTHLY STATS'!$C$60*2</f>
        <v>632056</v>
      </c>
      <c r="F19" s="89">
        <f>'MONTHLY STATS'!$C$74*2</f>
        <v>385550</v>
      </c>
      <c r="G19" s="89">
        <f>'MONTHLY STATS'!$C$88*2</f>
        <v>172802</v>
      </c>
      <c r="H19" s="89">
        <f>'MONTHLY STATS'!$C$102*2</f>
        <v>416882</v>
      </c>
      <c r="I19" s="89">
        <f>'MONTHLY STATS'!$C$116*2</f>
        <v>431050</v>
      </c>
      <c r="J19" s="89">
        <f>'MONTHLY STATS'!$C$130*2</f>
        <v>512682</v>
      </c>
      <c r="K19" s="89">
        <f>'MONTHLY STATS'!$C$144*2</f>
        <v>709310</v>
      </c>
      <c r="L19" s="89">
        <f>'MONTHLY STATS'!$C$158*2</f>
        <v>89310</v>
      </c>
      <c r="M19" s="89">
        <f>'MONTHLY STATS'!$C$172*2</f>
        <v>669086</v>
      </c>
      <c r="N19" s="89">
        <f>'MONTHLY STATS'!$C$186*2</f>
        <v>137760</v>
      </c>
      <c r="O19" s="90">
        <f>SUM(B19:N19)</f>
        <v>4877306</v>
      </c>
      <c r="P19" s="83"/>
    </row>
    <row r="20" spans="1:16" ht="15.75" x14ac:dyDescent="0.25">
      <c r="A20" s="88">
        <f>DATE(2023,5,1)</f>
        <v>45047</v>
      </c>
      <c r="B20" s="89">
        <f>'MONTHLY STATS'!$C$19*2</f>
        <v>378280</v>
      </c>
      <c r="C20" s="89">
        <f>'MONTHLY STATS'!$C$33*2</f>
        <v>200500</v>
      </c>
      <c r="D20" s="89">
        <f>'MONTHLY STATS'!$C$47*2</f>
        <v>111412</v>
      </c>
      <c r="E20" s="89">
        <f>'MONTHLY STATS'!$C$61*2</f>
        <v>633472</v>
      </c>
      <c r="F20" s="89">
        <f>'MONTHLY STATS'!$C$75*2</f>
        <v>397194</v>
      </c>
      <c r="G20" s="89">
        <f>'MONTHLY STATS'!$C$89*2</f>
        <v>170154</v>
      </c>
      <c r="H20" s="89">
        <f>'MONTHLY STATS'!$C$103*2</f>
        <v>419900</v>
      </c>
      <c r="I20" s="89">
        <f>'MONTHLY STATS'!$C$117*2</f>
        <v>415950</v>
      </c>
      <c r="J20" s="89">
        <f>'MONTHLY STATS'!$C$131*2</f>
        <v>487804</v>
      </c>
      <c r="K20" s="89">
        <f>'MONTHLY STATS'!$C$145*2</f>
        <v>688446</v>
      </c>
      <c r="L20" s="89">
        <f>'MONTHLY STATS'!$C$159*2</f>
        <v>84804</v>
      </c>
      <c r="M20" s="89">
        <f>'MONTHLY STATS'!$C$173*2</f>
        <v>635068</v>
      </c>
      <c r="N20" s="89">
        <f>'MONTHLY STATS'!$C$187*2</f>
        <v>130260</v>
      </c>
      <c r="O20" s="90">
        <f>SUM(B20:N20)</f>
        <v>4753244</v>
      </c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1">SUM(B10:B21)</f>
        <v>4346064</v>
      </c>
      <c r="C23" s="90">
        <f t="shared" si="1"/>
        <v>2285280</v>
      </c>
      <c r="D23" s="90">
        <f t="shared" si="1"/>
        <v>1142348</v>
      </c>
      <c r="E23" s="90">
        <f t="shared" si="1"/>
        <v>6777612</v>
      </c>
      <c r="F23" s="90">
        <f t="shared" si="1"/>
        <v>4351466</v>
      </c>
      <c r="G23" s="90">
        <f>SUM(G10:G21)</f>
        <v>1918266</v>
      </c>
      <c r="H23" s="90">
        <f t="shared" si="1"/>
        <v>4621224</v>
      </c>
      <c r="I23" s="90">
        <f>SUM(I10:I21)</f>
        <v>4748112</v>
      </c>
      <c r="J23" s="90">
        <f t="shared" si="1"/>
        <v>5448522</v>
      </c>
      <c r="K23" s="90">
        <f>SUM(K10:K21)</f>
        <v>7640944</v>
      </c>
      <c r="L23" s="90">
        <f t="shared" si="1"/>
        <v>926044</v>
      </c>
      <c r="M23" s="90">
        <f t="shared" si="1"/>
        <v>7625758</v>
      </c>
      <c r="N23" s="90">
        <f t="shared" si="1"/>
        <v>1425042</v>
      </c>
      <c r="O23" s="90">
        <f t="shared" si="1"/>
        <v>53256682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62</v>
      </c>
      <c r="E28" s="275" t="s">
        <v>55</v>
      </c>
      <c r="F28" s="84" t="s">
        <v>60</v>
      </c>
      <c r="G28" s="84" t="s">
        <v>63</v>
      </c>
      <c r="H28" s="84" t="s">
        <v>68</v>
      </c>
      <c r="I28" s="84" t="s">
        <v>70</v>
      </c>
      <c r="J28" s="84" t="s">
        <v>25</v>
      </c>
      <c r="K28" s="106" t="s">
        <v>52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DATE(2022,7,1)</f>
        <v>44743</v>
      </c>
      <c r="B31" s="89">
        <f>'MONTHLY STATS'!$K$9*0.21</f>
        <v>3359049.8339999998</v>
      </c>
      <c r="C31" s="89">
        <f>'MONTHLY STATS'!$K$23*0.21</f>
        <v>1763108.3841000001</v>
      </c>
      <c r="D31" s="89">
        <f>'MONTHLY STATS'!$K$37*0.21</f>
        <v>795167.66700000002</v>
      </c>
      <c r="E31" s="89">
        <f>'MONTHLY STATS'!$K$51*0.21</f>
        <v>4494852.2303999998</v>
      </c>
      <c r="F31" s="89">
        <f>'MONTHLY STATS'!$K$65*0.21</f>
        <v>3165394.9026000001</v>
      </c>
      <c r="G31" s="89">
        <f>'MONTHLY STATS'!$K$79*0.21</f>
        <v>1314631.5209999999</v>
      </c>
      <c r="H31" s="89">
        <f>'MONTHLY STATS'!$K$93*0.21</f>
        <v>2227424.3922000001</v>
      </c>
      <c r="I31" s="89">
        <f>'MONTHLY STATS'!$K$107*0.21</f>
        <v>2765364.9953999999</v>
      </c>
      <c r="J31" s="89">
        <f>'MONTHLY STATS'!$K$121*0.21</f>
        <v>3822849.2357999999</v>
      </c>
      <c r="K31" s="89">
        <f>'MONTHLY STATS'!$K$135*0.21</f>
        <v>4703370.6278999997</v>
      </c>
      <c r="L31" s="89">
        <f>'MONTHLY STATS'!$K$149*0.21</f>
        <v>683300.66280000005</v>
      </c>
      <c r="M31" s="89">
        <f>'MONTHLY STATS'!$K$163*0.21</f>
        <v>5606846.4542999994</v>
      </c>
      <c r="N31" s="89">
        <f>'MONTHLY STATS'!$K$177*0.21</f>
        <v>868965.65700000001</v>
      </c>
      <c r="O31" s="90">
        <f t="shared" ref="O31:O36" si="2">SUM(B31:N31)</f>
        <v>35570326.564499997</v>
      </c>
      <c r="P31" s="83"/>
    </row>
    <row r="32" spans="1:16" ht="15.75" x14ac:dyDescent="0.25">
      <c r="A32" s="88">
        <f>DATE(2022,8,1)</f>
        <v>44774</v>
      </c>
      <c r="B32" s="89">
        <f>'MONTHLY STATS'!$K$10*0.21</f>
        <v>3188690.0198999997</v>
      </c>
      <c r="C32" s="89">
        <f>'MONTHLY STATS'!$K$24*0.21</f>
        <v>1588851.9213</v>
      </c>
      <c r="D32" s="89">
        <f>'MONTHLY STATS'!$K$38*0.21</f>
        <v>734372.83709999989</v>
      </c>
      <c r="E32" s="89">
        <f>'MONTHLY STATS'!$K$52*0.21</f>
        <v>4061676.9521999997</v>
      </c>
      <c r="F32" s="89">
        <f>'MONTHLY STATS'!$K$66*0.21</f>
        <v>3214879.5693000001</v>
      </c>
      <c r="G32" s="89">
        <f>'MONTHLY STATS'!$K$80*0.21</f>
        <v>1147680.3639</v>
      </c>
      <c r="H32" s="89">
        <f>'MONTHLY STATS'!$K$94*0.21</f>
        <v>2163098.6937000002</v>
      </c>
      <c r="I32" s="89">
        <f>'MONTHLY STATS'!$K$108*0.21</f>
        <v>2924821.5044999998</v>
      </c>
      <c r="J32" s="89">
        <f>'MONTHLY STATS'!$K$122*0.21</f>
        <v>3452400.8777999999</v>
      </c>
      <c r="K32" s="89">
        <f>'MONTHLY STATS'!$K$136*0.21</f>
        <v>4351146.3975</v>
      </c>
      <c r="L32" s="89">
        <f>'MONTHLY STATS'!$K$150*0.21</f>
        <v>620327.83259999997</v>
      </c>
      <c r="M32" s="89">
        <f>'MONTHLY STATS'!$K$164*0.21</f>
        <v>5590252.4075999996</v>
      </c>
      <c r="N32" s="89">
        <f>'MONTHLY STATS'!$K$178*0.21</f>
        <v>768521.87789999996</v>
      </c>
      <c r="O32" s="90">
        <f t="shared" si="2"/>
        <v>33806721.2553</v>
      </c>
      <c r="P32" s="83"/>
    </row>
    <row r="33" spans="1:16" ht="15.75" x14ac:dyDescent="0.25">
      <c r="A33" s="88">
        <f>DATE(2022,9,1)</f>
        <v>44805</v>
      </c>
      <c r="B33" s="89">
        <f>'MONTHLY STATS'!$K$11*0.21</f>
        <v>2913784.8914999999</v>
      </c>
      <c r="C33" s="89">
        <f>'MONTHLY STATS'!$K$25*0.21</f>
        <v>1636722.8933999999</v>
      </c>
      <c r="D33" s="89">
        <f>'MONTHLY STATS'!$K$39*0.21</f>
        <v>755328.89249999996</v>
      </c>
      <c r="E33" s="89">
        <f>'MONTHLY STATS'!$K$53*0.21</f>
        <v>4442412.3932999996</v>
      </c>
      <c r="F33" s="89">
        <f>'MONTHLY STATS'!$K$67*0.21</f>
        <v>2907957.2151000001</v>
      </c>
      <c r="G33" s="89">
        <f>'MONTHLY STATS'!$K$81*0.21</f>
        <v>1129976.358</v>
      </c>
      <c r="H33" s="89">
        <f>'MONTHLY STATS'!$K$95*0.21</f>
        <v>2064167.763</v>
      </c>
      <c r="I33" s="89">
        <f>'MONTHLY STATS'!$K$109*0.21</f>
        <v>2839609.1870999997</v>
      </c>
      <c r="J33" s="89">
        <f>'MONTHLY STATS'!$K$123*0.21</f>
        <v>3561956.9558999995</v>
      </c>
      <c r="K33" s="89">
        <f>'MONTHLY STATS'!$K$137*0.21</f>
        <v>4266202.1240999997</v>
      </c>
      <c r="L33" s="89">
        <f>'MONTHLY STATS'!$K$151*0.21</f>
        <v>651220.46849999996</v>
      </c>
      <c r="M33" s="89">
        <f>'MONTHLY STATS'!$K$165*0.21</f>
        <v>5140952.1911999993</v>
      </c>
      <c r="N33" s="89">
        <f>'MONTHLY STATS'!$K$179*0.21</f>
        <v>831738.72809999995</v>
      </c>
      <c r="O33" s="90">
        <f t="shared" si="2"/>
        <v>33142030.061700001</v>
      </c>
      <c r="P33" s="83"/>
    </row>
    <row r="34" spans="1:16" ht="15.75" x14ac:dyDescent="0.25">
      <c r="A34" s="88">
        <f>DATE(2022,10,1)</f>
        <v>44835</v>
      </c>
      <c r="B34" s="89">
        <f>'MONTHLY STATS'!$K$12*0.21</f>
        <v>3075624.7241999996</v>
      </c>
      <c r="C34" s="89">
        <f>'MONTHLY STATS'!$K$26*0.21</f>
        <v>1608939.4313999999</v>
      </c>
      <c r="D34" s="89">
        <f>'MONTHLY STATS'!$K$40*0.21</f>
        <v>705512.90040000004</v>
      </c>
      <c r="E34" s="89">
        <f>'MONTHLY STATS'!$K$54*0.21</f>
        <v>4043854.5</v>
      </c>
      <c r="F34" s="89">
        <f>'MONTHLY STATS'!$K$68*0.21</f>
        <v>2505260.2259999998</v>
      </c>
      <c r="G34" s="89">
        <f>'MONTHLY STATS'!$K$82*0.21</f>
        <v>1158875.3861999998</v>
      </c>
      <c r="H34" s="89">
        <f>'MONTHLY STATS'!$K$96*0.21</f>
        <v>2187891.8501999998</v>
      </c>
      <c r="I34" s="89">
        <f>'MONTHLY STATS'!$K$110*0.21</f>
        <v>2719674.5499</v>
      </c>
      <c r="J34" s="89">
        <f>'MONTHLY STATS'!$K$124*0.21</f>
        <v>3417495.6816000002</v>
      </c>
      <c r="K34" s="89">
        <f>'MONTHLY STATS'!$K$138*0.21</f>
        <v>4410867.6758999992</v>
      </c>
      <c r="L34" s="89">
        <f>'MONTHLY STATS'!$K$152*0.21</f>
        <v>640540.41870000004</v>
      </c>
      <c r="M34" s="89">
        <f>'MONTHLY STATS'!$K$166*0.21</f>
        <v>5138674.4492999995</v>
      </c>
      <c r="N34" s="89">
        <f>'MONTHLY STATS'!$K$180*0.21</f>
        <v>806512.32270000002</v>
      </c>
      <c r="O34" s="90">
        <f t="shared" si="2"/>
        <v>32419724.116499994</v>
      </c>
      <c r="P34" s="83"/>
    </row>
    <row r="35" spans="1:16" ht="15.75" x14ac:dyDescent="0.25">
      <c r="A35" s="88">
        <f>DATE(2022,11,1)</f>
        <v>44866</v>
      </c>
      <c r="B35" s="89">
        <f>'MONTHLY STATS'!$K$13*0.21</f>
        <v>2845026.8469000002</v>
      </c>
      <c r="C35" s="89">
        <f>'MONTHLY STATS'!$K$27*0.21</f>
        <v>1476735.9725999997</v>
      </c>
      <c r="D35" s="89">
        <f>'MONTHLY STATS'!$K$41*0.21</f>
        <v>650621.45189999999</v>
      </c>
      <c r="E35" s="89">
        <f>'MONTHLY STATS'!$K$55*0.21</f>
        <v>3763966.5441000001</v>
      </c>
      <c r="F35" s="89">
        <f>'MONTHLY STATS'!$K$69*0.21</f>
        <v>2960831.6051999996</v>
      </c>
      <c r="G35" s="89">
        <f>'MONTHLY STATS'!$K$83*0.21</f>
        <v>1067059.5663000001</v>
      </c>
      <c r="H35" s="89">
        <f>'MONTHLY STATS'!$K$97*0.21</f>
        <v>2212111.8284999998</v>
      </c>
      <c r="I35" s="89">
        <f>'MONTHLY STATS'!$K$111*0.21</f>
        <v>2492792.2173000001</v>
      </c>
      <c r="J35" s="89">
        <f>'MONTHLY STATS'!$K$125*0.21</f>
        <v>3191663.4750000001</v>
      </c>
      <c r="K35" s="89">
        <f>'MONTHLY STATS'!$K$139*0.21</f>
        <v>4385820.3207</v>
      </c>
      <c r="L35" s="89">
        <f>'MONTHLY STATS'!$K$153*0.21</f>
        <v>587792.96100000001</v>
      </c>
      <c r="M35" s="89">
        <f>'MONTHLY STATS'!$K$167*0.21</f>
        <v>5073865.8936000001</v>
      </c>
      <c r="N35" s="89">
        <f>'MONTHLY STATS'!$K$181*0.21</f>
        <v>750429.42239999992</v>
      </c>
      <c r="O35" s="90">
        <f t="shared" si="2"/>
        <v>31458718.105500001</v>
      </c>
      <c r="P35" s="83"/>
    </row>
    <row r="36" spans="1:16" ht="15.75" x14ac:dyDescent="0.25">
      <c r="A36" s="88">
        <f>DATE(2022,12,1)</f>
        <v>44896</v>
      </c>
      <c r="B36" s="89">
        <f>'MONTHLY STATS'!$K$14*0.21</f>
        <v>2776013.2511999998</v>
      </c>
      <c r="C36" s="89">
        <f>'MONTHLY STATS'!$K$28*0.21</f>
        <v>1553783.3891999999</v>
      </c>
      <c r="D36" s="89">
        <f>'MONTHLY STATS'!$K$42*0.21</f>
        <v>659461.64339999994</v>
      </c>
      <c r="E36" s="89">
        <f>'MONTHLY STATS'!$K$56*0.21</f>
        <v>4246896.2613000004</v>
      </c>
      <c r="F36" s="89">
        <f>'MONTHLY STATS'!$K$70*0.21</f>
        <v>3099068.8049999997</v>
      </c>
      <c r="G36" s="89">
        <f>'MONTHLY STATS'!$K$84*0.21</f>
        <v>1155106.7450999999</v>
      </c>
      <c r="H36" s="89">
        <f>'MONTHLY STATS'!$K$98*0.21</f>
        <v>2239133.7002999997</v>
      </c>
      <c r="I36" s="89">
        <f>'MONTHLY STATS'!$K$112*0.21</f>
        <v>2741731.9691999997</v>
      </c>
      <c r="J36" s="89">
        <f>'MONTHLY STATS'!$K$126*0.21</f>
        <v>3487138.3112999997</v>
      </c>
      <c r="K36" s="89">
        <f>'MONTHLY STATS'!$K$140*0.21</f>
        <v>4371125.0373</v>
      </c>
      <c r="L36" s="89">
        <f>'MONTHLY STATS'!$K$154*0.21</f>
        <v>650540.88120000006</v>
      </c>
      <c r="M36" s="89">
        <f>'MONTHLY STATS'!$K$168*0.21</f>
        <v>5307678.2891999995</v>
      </c>
      <c r="N36" s="89">
        <f>'MONTHLY STATS'!$K$182*0.21</f>
        <v>826249.8909</v>
      </c>
      <c r="O36" s="90">
        <f t="shared" si="2"/>
        <v>33113928.174599998</v>
      </c>
      <c r="P36" s="83"/>
    </row>
    <row r="37" spans="1:16" ht="15.75" x14ac:dyDescent="0.25">
      <c r="A37" s="88">
        <f>DATE(2023,1,1)</f>
        <v>44927</v>
      </c>
      <c r="B37" s="89">
        <f>'MONTHLY STATS'!$K$15*0.21</f>
        <v>3041863.9313999997</v>
      </c>
      <c r="C37" s="89">
        <f>'MONTHLY STATS'!$K$29*0.21</f>
        <v>1512599.7641999999</v>
      </c>
      <c r="D37" s="89">
        <f>'MONTHLY STATS'!$K$43*0.21</f>
        <v>762701.03700000001</v>
      </c>
      <c r="E37" s="89">
        <f>'MONTHLY STATS'!$K$57*0.21</f>
        <v>3971446.9913999997</v>
      </c>
      <c r="F37" s="89">
        <f>'MONTHLY STATS'!$K$71*0.21</f>
        <v>2964857.2905000001</v>
      </c>
      <c r="G37" s="89">
        <f>'MONTHLY STATS'!$K$85*0.21</f>
        <v>1112091.2040000001</v>
      </c>
      <c r="H37" s="89">
        <f>'MONTHLY STATS'!$K$99*0.21</f>
        <v>2286726.7394999997</v>
      </c>
      <c r="I37" s="89">
        <f>'MONTHLY STATS'!$K$113*0.21</f>
        <v>2509557.7773000002</v>
      </c>
      <c r="J37" s="89">
        <f>'MONTHLY STATS'!$K$127*0.21</f>
        <v>3286258.9662000001</v>
      </c>
      <c r="K37" s="89">
        <f>'MONTHLY STATS'!$K$141*0.21</f>
        <v>4340668.3319999995</v>
      </c>
      <c r="L37" s="89">
        <f>'MONTHLY STATS'!$K$155*0.21</f>
        <v>606532.10309999995</v>
      </c>
      <c r="M37" s="89">
        <f>'MONTHLY STATS'!$K$169*0.21</f>
        <v>5117319.4044000003</v>
      </c>
      <c r="N37" s="89">
        <f>'MONTHLY STATS'!$K$183*0.21</f>
        <v>766575.97169999999</v>
      </c>
      <c r="O37" s="90">
        <f>SUM(B37:N37)</f>
        <v>32279199.512699995</v>
      </c>
      <c r="P37" s="83"/>
    </row>
    <row r="38" spans="1:16" ht="15.75" x14ac:dyDescent="0.25">
      <c r="A38" s="88">
        <f>DATE(2023,2,1)</f>
        <v>44958</v>
      </c>
      <c r="B38" s="89">
        <f>'MONTHLY STATS'!$K$16*0.21</f>
        <v>2930388.8711999999</v>
      </c>
      <c r="C38" s="89">
        <f>'MONTHLY STATS'!$K$30*0.21</f>
        <v>1606612.3017</v>
      </c>
      <c r="D38" s="89">
        <f>'MONTHLY STATS'!$K$44*0.21</f>
        <v>820235.0037</v>
      </c>
      <c r="E38" s="89">
        <f>'MONTHLY STATS'!$K$58*0.21</f>
        <v>4062328.1264999993</v>
      </c>
      <c r="F38" s="89">
        <f>'MONTHLY STATS'!$K$72*0.21</f>
        <v>2875199.0651999996</v>
      </c>
      <c r="G38" s="89">
        <f>'MONTHLY STATS'!$K$86*0.21</f>
        <v>1275150.1056000001</v>
      </c>
      <c r="H38" s="89">
        <f>'MONTHLY STATS'!$K$100*0.21</f>
        <v>2170910.4101999998</v>
      </c>
      <c r="I38" s="89">
        <f>'MONTHLY STATS'!$K$114*0.21</f>
        <v>2641852.6701000002</v>
      </c>
      <c r="J38" s="89">
        <f>'MONTHLY STATS'!$K$128*0.21</f>
        <v>3329521.1396999997</v>
      </c>
      <c r="K38" s="89">
        <f>'MONTHLY STATS'!$K$142*0.21</f>
        <v>4387939.9472999992</v>
      </c>
      <c r="L38" s="89">
        <f>'MONTHLY STATS'!$K$156*0.21</f>
        <v>653658.58319999999</v>
      </c>
      <c r="M38" s="89">
        <f>'MONTHLY STATS'!$K$170*0.21</f>
        <v>5336103.4314000001</v>
      </c>
      <c r="N38" s="89">
        <f>'MONTHLY STATS'!$K$184*0.21</f>
        <v>869331.81929999997</v>
      </c>
      <c r="O38" s="90">
        <f>SUM(B38:N38)</f>
        <v>32959231.475099996</v>
      </c>
      <c r="P38" s="83"/>
    </row>
    <row r="39" spans="1:16" ht="15.75" x14ac:dyDescent="0.25">
      <c r="A39" s="88">
        <f>DATE(2023,3,1)</f>
        <v>44986</v>
      </c>
      <c r="B39" s="89">
        <f>'MONTHLY STATS'!$K$17*0.21</f>
        <v>3293007.8012999999</v>
      </c>
      <c r="C39" s="89">
        <f>'MONTHLY STATS'!$K$31*0.21</f>
        <v>1802758.0556999999</v>
      </c>
      <c r="D39" s="89">
        <f>'MONTHLY STATS'!$K$45*0.21</f>
        <v>946662.8618999999</v>
      </c>
      <c r="E39" s="89">
        <f>'MONTHLY STATS'!$K$59*0.21</f>
        <v>4720487.9693999998</v>
      </c>
      <c r="F39" s="89">
        <f>'MONTHLY STATS'!$K$73*0.21</f>
        <v>3432363.6521999999</v>
      </c>
      <c r="G39" s="89">
        <f>'MONTHLY STATS'!$K$87*0.21</f>
        <v>1373022.9534</v>
      </c>
      <c r="H39" s="89">
        <f>'MONTHLY STATS'!$K$101*0.21</f>
        <v>2430387.3005999997</v>
      </c>
      <c r="I39" s="89">
        <f>'MONTHLY STATS'!$K$115*0.21</f>
        <v>3009138.3188999998</v>
      </c>
      <c r="J39" s="89">
        <f>'MONTHLY STATS'!$K$129*0.21</f>
        <v>3841012.2176999999</v>
      </c>
      <c r="K39" s="89">
        <f>'MONTHLY STATS'!$K$143*0.21</f>
        <v>4982038.3788000001</v>
      </c>
      <c r="L39" s="89">
        <f>'MONTHLY STATS'!$K$157*0.21</f>
        <v>704926.79459999991</v>
      </c>
      <c r="M39" s="89">
        <f>'MONTHLY STATS'!$K$171*0.21</f>
        <v>5633956.5135000004</v>
      </c>
      <c r="N39" s="89">
        <f>'MONTHLY STATS'!$K$185*0.21</f>
        <v>965107.37189999991</v>
      </c>
      <c r="O39" s="90">
        <f>SUM(B39:N39)</f>
        <v>37134870.189899996</v>
      </c>
      <c r="P39" s="83"/>
    </row>
    <row r="40" spans="1:16" ht="15.75" x14ac:dyDescent="0.25">
      <c r="A40" s="88">
        <f>DATE(2023,4,1)</f>
        <v>45017</v>
      </c>
      <c r="B40" s="89">
        <f>'MONTHLY STATS'!$K$18*0.21</f>
        <v>3112562.6426999997</v>
      </c>
      <c r="C40" s="89">
        <f>'MONTHLY STATS'!$K$32*0.21</f>
        <v>1711794.5481</v>
      </c>
      <c r="D40" s="89">
        <f>'MONTHLY STATS'!$K$46*0.21</f>
        <v>856189.15409999993</v>
      </c>
      <c r="E40" s="89">
        <f>'MONTHLY STATS'!$K$60*0.21</f>
        <v>4454067.2777999993</v>
      </c>
      <c r="F40" s="89">
        <f>'MONTHLY STATS'!$K$74*0.21</f>
        <v>2943852.6599999997</v>
      </c>
      <c r="G40" s="89">
        <f>'MONTHLY STATS'!$K$88*0.21</f>
        <v>1215538.3274999999</v>
      </c>
      <c r="H40" s="89">
        <f>'MONTHLY STATS'!$K$102*0.21</f>
        <v>2350463.1758999997</v>
      </c>
      <c r="I40" s="89">
        <f>'MONTHLY STATS'!$K$116*0.21</f>
        <v>2884073.7092999998</v>
      </c>
      <c r="J40" s="89">
        <f>'MONTHLY STATS'!$K$130*0.21</f>
        <v>3754504.4018999999</v>
      </c>
      <c r="K40" s="89">
        <f>'MONTHLY STATS'!$K$144*0.21</f>
        <v>4642936.3070999999</v>
      </c>
      <c r="L40" s="89">
        <f>'MONTHLY STATS'!$K$158*0.21</f>
        <v>666109.63439999998</v>
      </c>
      <c r="M40" s="89">
        <f>'MONTHLY STATS'!$K$172*0.21</f>
        <v>5593457.4905999992</v>
      </c>
      <c r="N40" s="89">
        <f>'MONTHLY STATS'!$K$186*0.21</f>
        <v>906914.31180000002</v>
      </c>
      <c r="O40" s="90">
        <f>SUM(B40:N40)</f>
        <v>35092463.641199999</v>
      </c>
      <c r="P40" s="83"/>
    </row>
    <row r="41" spans="1:16" ht="15.75" x14ac:dyDescent="0.25">
      <c r="A41" s="88">
        <f>DATE(2023,5,1)</f>
        <v>45047</v>
      </c>
      <c r="B41" s="89">
        <f>'MONTHLY STATS'!$K$19*0.21</f>
        <v>3012341.3880000003</v>
      </c>
      <c r="C41" s="89">
        <f>'MONTHLY STATS'!$K$33*0.21</f>
        <v>1609001.9631000001</v>
      </c>
      <c r="D41" s="89">
        <f>'MONTHLY STATS'!$K$47*0.21</f>
        <v>821024.00099999993</v>
      </c>
      <c r="E41" s="89">
        <f>'MONTHLY STATS'!$K$61*0.21</f>
        <v>4619120.6397000002</v>
      </c>
      <c r="F41" s="89">
        <f>'MONTHLY STATS'!$K$75*0.21</f>
        <v>2970304.8731999998</v>
      </c>
      <c r="G41" s="89">
        <f>'MONTHLY STATS'!$K$89*0.21</f>
        <v>1190863.8965999999</v>
      </c>
      <c r="H41" s="89">
        <f>'MONTHLY STATS'!$K$103*0.21</f>
        <v>2260169.4128999999</v>
      </c>
      <c r="I41" s="89">
        <f>'MONTHLY STATS'!$K$117*0.21</f>
        <v>2724589.6355999997</v>
      </c>
      <c r="J41" s="89">
        <f>'MONTHLY STATS'!$K$131*0.21</f>
        <v>3518739.3716999996</v>
      </c>
      <c r="K41" s="89">
        <f>'MONTHLY STATS'!$K$145*0.21</f>
        <v>4442693.8751999997</v>
      </c>
      <c r="L41" s="89">
        <f>'MONTHLY STATS'!$K$159*0.21</f>
        <v>666660.68069999991</v>
      </c>
      <c r="M41" s="89">
        <f>'MONTHLY STATS'!$K$173*0.21</f>
        <v>5114282.8002000004</v>
      </c>
      <c r="N41" s="89">
        <f>'MONTHLY STATS'!$K$187*0.21</f>
        <v>850670.82869999995</v>
      </c>
      <c r="O41" s="90">
        <f>SUM(B41:N41)</f>
        <v>33800463.366599999</v>
      </c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3">SUM(B31:B42)</f>
        <v>33548354.202300001</v>
      </c>
      <c r="C44" s="90">
        <f t="shared" si="3"/>
        <v>17870908.6248</v>
      </c>
      <c r="D44" s="90">
        <f t="shared" si="3"/>
        <v>8507277.4500000011</v>
      </c>
      <c r="E44" s="90">
        <f t="shared" si="3"/>
        <v>46881109.886100009</v>
      </c>
      <c r="F44" s="90">
        <f t="shared" si="3"/>
        <v>33039969.864300001</v>
      </c>
      <c r="G44" s="90">
        <f t="shared" si="3"/>
        <v>13139996.4276</v>
      </c>
      <c r="H44" s="90">
        <f t="shared" si="3"/>
        <v>24592485.267000001</v>
      </c>
      <c r="I44" s="90">
        <f>SUM(I31:I42)</f>
        <v>30253206.534600001</v>
      </c>
      <c r="J44" s="90">
        <f t="shared" si="3"/>
        <v>38663540.634599999</v>
      </c>
      <c r="K44" s="90">
        <f>SUM(K31:K42)</f>
        <v>49284809.023799986</v>
      </c>
      <c r="L44" s="90">
        <f t="shared" si="3"/>
        <v>7131611.0208000001</v>
      </c>
      <c r="M44" s="90">
        <f t="shared" si="3"/>
        <v>58653389.325299993</v>
      </c>
      <c r="N44" s="90">
        <f t="shared" si="3"/>
        <v>9211018.2023999989</v>
      </c>
      <c r="O44" s="90">
        <f t="shared" si="3"/>
        <v>370777676.46359998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96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75</v>
      </c>
      <c r="B3" s="117"/>
      <c r="C3" s="200"/>
      <c r="D3" s="200"/>
      <c r="E3" s="200"/>
      <c r="F3" s="117"/>
      <c r="G3" s="210"/>
    </row>
    <row r="4" spans="1:8" x14ac:dyDescent="0.2">
      <c r="A4" s="284" t="s">
        <v>76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DATE(2022,7,1)</f>
        <v>44743</v>
      </c>
      <c r="C9" s="204">
        <v>15602600</v>
      </c>
      <c r="D9" s="204">
        <v>3018310</v>
      </c>
      <c r="E9" s="204">
        <v>2401856.06</v>
      </c>
      <c r="F9" s="132">
        <f t="shared" ref="F9:F19" si="0">(+D9-E9)/E9</f>
        <v>0.25665732025590238</v>
      </c>
      <c r="G9" s="215">
        <f t="shared" ref="G9:G19" si="1">D9/C9</f>
        <v>0.19344916872828888</v>
      </c>
      <c r="H9" s="123"/>
    </row>
    <row r="10" spans="1:8" ht="15.75" x14ac:dyDescent="0.25">
      <c r="A10" s="130"/>
      <c r="B10" s="131">
        <f>DATE(2022,8,1)</f>
        <v>44774</v>
      </c>
      <c r="C10" s="204">
        <v>15211017.25</v>
      </c>
      <c r="D10" s="204">
        <v>3237681.85</v>
      </c>
      <c r="E10" s="204">
        <v>2504601.5</v>
      </c>
      <c r="F10" s="132">
        <f t="shared" si="0"/>
        <v>0.29269340851229231</v>
      </c>
      <c r="G10" s="215">
        <f t="shared" si="1"/>
        <v>0.21285110632558121</v>
      </c>
      <c r="H10" s="123"/>
    </row>
    <row r="11" spans="1:8" ht="15.75" x14ac:dyDescent="0.25">
      <c r="A11" s="130"/>
      <c r="B11" s="131">
        <f>DATE(2022,9,1)</f>
        <v>44805</v>
      </c>
      <c r="C11" s="204">
        <v>13401211</v>
      </c>
      <c r="D11" s="204">
        <v>2018642</v>
      </c>
      <c r="E11" s="204">
        <v>1944156.5</v>
      </c>
      <c r="F11" s="132">
        <f t="shared" si="0"/>
        <v>3.8312502105668965E-2</v>
      </c>
      <c r="G11" s="215">
        <f t="shared" si="1"/>
        <v>0.15063131234930932</v>
      </c>
      <c r="H11" s="123"/>
    </row>
    <row r="12" spans="1:8" ht="15.75" x14ac:dyDescent="0.25">
      <c r="A12" s="130"/>
      <c r="B12" s="131">
        <f>DATE(2022,10,1)</f>
        <v>44835</v>
      </c>
      <c r="C12" s="204">
        <v>14506822</v>
      </c>
      <c r="D12" s="204">
        <v>2709321</v>
      </c>
      <c r="E12" s="204">
        <v>2656668</v>
      </c>
      <c r="F12" s="132">
        <f t="shared" si="0"/>
        <v>1.9819187041813281E-2</v>
      </c>
      <c r="G12" s="215">
        <f t="shared" si="1"/>
        <v>0.18676185590475985</v>
      </c>
      <c r="H12" s="123"/>
    </row>
    <row r="13" spans="1:8" ht="15.75" x14ac:dyDescent="0.25">
      <c r="A13" s="130"/>
      <c r="B13" s="131">
        <f>DATE(2022,11,1)</f>
        <v>44866</v>
      </c>
      <c r="C13" s="204">
        <v>14257204</v>
      </c>
      <c r="D13" s="204">
        <v>2936554</v>
      </c>
      <c r="E13" s="204">
        <v>2254397</v>
      </c>
      <c r="F13" s="132">
        <f t="shared" si="0"/>
        <v>0.30258956164331302</v>
      </c>
      <c r="G13" s="215">
        <f t="shared" si="1"/>
        <v>0.2059698381253435</v>
      </c>
      <c r="H13" s="123"/>
    </row>
    <row r="14" spans="1:8" ht="15.75" x14ac:dyDescent="0.25">
      <c r="A14" s="130"/>
      <c r="B14" s="131">
        <f>DATE(2022,12,1)</f>
        <v>44896</v>
      </c>
      <c r="C14" s="204">
        <v>14490087</v>
      </c>
      <c r="D14" s="204">
        <v>2019034</v>
      </c>
      <c r="E14" s="204">
        <v>2277304.5</v>
      </c>
      <c r="F14" s="132">
        <f t="shared" si="0"/>
        <v>-0.11341061329304009</v>
      </c>
      <c r="G14" s="215">
        <f t="shared" si="1"/>
        <v>0.13933898395503078</v>
      </c>
      <c r="H14" s="123"/>
    </row>
    <row r="15" spans="1:8" ht="15.75" x14ac:dyDescent="0.25">
      <c r="A15" s="130"/>
      <c r="B15" s="131">
        <f>DATE(2023,1,1)</f>
        <v>44927</v>
      </c>
      <c r="C15" s="204">
        <v>17039670</v>
      </c>
      <c r="D15" s="204">
        <v>3086761.5</v>
      </c>
      <c r="E15" s="204">
        <v>2164427.5</v>
      </c>
      <c r="F15" s="132">
        <f t="shared" si="0"/>
        <v>0.42613300745809229</v>
      </c>
      <c r="G15" s="215">
        <f t="shared" si="1"/>
        <v>0.18115148356746347</v>
      </c>
      <c r="H15" s="123"/>
    </row>
    <row r="16" spans="1:8" ht="15.75" x14ac:dyDescent="0.25">
      <c r="A16" s="130"/>
      <c r="B16" s="131">
        <f>DATE(2023,2,1)</f>
        <v>44958</v>
      </c>
      <c r="C16" s="204">
        <v>16336123</v>
      </c>
      <c r="D16" s="204">
        <v>2473094.5</v>
      </c>
      <c r="E16" s="204">
        <v>2316245</v>
      </c>
      <c r="F16" s="132">
        <f t="shared" si="0"/>
        <v>6.7717145638738568E-2</v>
      </c>
      <c r="G16" s="215">
        <f t="shared" si="1"/>
        <v>0.15138809251130148</v>
      </c>
      <c r="H16" s="123"/>
    </row>
    <row r="17" spans="1:8" ht="15.75" x14ac:dyDescent="0.25">
      <c r="A17" s="130"/>
      <c r="B17" s="131">
        <f>DATE(2023,3,1)</f>
        <v>44986</v>
      </c>
      <c r="C17" s="204">
        <v>17336379</v>
      </c>
      <c r="D17" s="204">
        <v>2339779</v>
      </c>
      <c r="E17" s="204">
        <v>2654540</v>
      </c>
      <c r="F17" s="132">
        <f t="shared" si="0"/>
        <v>-0.11857459296149239</v>
      </c>
      <c r="G17" s="215">
        <f t="shared" si="1"/>
        <v>0.13496353534956751</v>
      </c>
      <c r="H17" s="123"/>
    </row>
    <row r="18" spans="1:8" ht="15.75" x14ac:dyDescent="0.25">
      <c r="A18" s="130"/>
      <c r="B18" s="131">
        <f>DATE(2023,4,1)</f>
        <v>45017</v>
      </c>
      <c r="C18" s="204">
        <v>14865689</v>
      </c>
      <c r="D18" s="204">
        <v>2718840.5</v>
      </c>
      <c r="E18" s="204">
        <v>2452491.5</v>
      </c>
      <c r="F18" s="132">
        <f t="shared" si="0"/>
        <v>0.10860343450731634</v>
      </c>
      <c r="G18" s="215">
        <f t="shared" si="1"/>
        <v>0.18289367549664196</v>
      </c>
      <c r="H18" s="123"/>
    </row>
    <row r="19" spans="1:8" ht="15.75" x14ac:dyDescent="0.25">
      <c r="A19" s="130"/>
      <c r="B19" s="131">
        <f>DATE(2023,5,1)</f>
        <v>45047</v>
      </c>
      <c r="C19" s="204">
        <v>14619750</v>
      </c>
      <c r="D19" s="204">
        <v>2110455</v>
      </c>
      <c r="E19" s="204">
        <v>2927174.5</v>
      </c>
      <c r="F19" s="132">
        <f t="shared" si="0"/>
        <v>-0.27901291843038395</v>
      </c>
      <c r="G19" s="215">
        <f t="shared" si="1"/>
        <v>0.14435643564356435</v>
      </c>
      <c r="H19" s="123"/>
    </row>
    <row r="20" spans="1:8" ht="15.75" thickBot="1" x14ac:dyDescent="0.25">
      <c r="A20" s="133"/>
      <c r="B20" s="134"/>
      <c r="C20" s="204"/>
      <c r="D20" s="204"/>
      <c r="E20" s="204"/>
      <c r="F20" s="132"/>
      <c r="G20" s="215"/>
      <c r="H20" s="123"/>
    </row>
    <row r="21" spans="1:8" ht="17.25" thickTop="1" thickBot="1" x14ac:dyDescent="0.3">
      <c r="A21" s="135" t="s">
        <v>14</v>
      </c>
      <c r="B21" s="136"/>
      <c r="C21" s="201">
        <f>SUM(C9:C20)</f>
        <v>167666552.25</v>
      </c>
      <c r="D21" s="201">
        <f>SUM(D9:D20)</f>
        <v>28668473.350000001</v>
      </c>
      <c r="E21" s="201">
        <f>SUM(E9:E20)</f>
        <v>26553862.060000002</v>
      </c>
      <c r="F21" s="137">
        <f>(+D21-E21)/E21</f>
        <v>7.9634792303353519E-2</v>
      </c>
      <c r="G21" s="212">
        <f>D21/C21</f>
        <v>0.17098504719804664</v>
      </c>
      <c r="H21" s="123"/>
    </row>
    <row r="22" spans="1:8" ht="15.75" customHeight="1" thickTop="1" x14ac:dyDescent="0.25">
      <c r="A22" s="138"/>
      <c r="B22" s="139"/>
      <c r="C22" s="205"/>
      <c r="D22" s="205"/>
      <c r="E22" s="205"/>
      <c r="F22" s="140"/>
      <c r="G22" s="216"/>
      <c r="H22" s="123"/>
    </row>
    <row r="23" spans="1:8" ht="15.75" x14ac:dyDescent="0.25">
      <c r="A23" s="19" t="s">
        <v>15</v>
      </c>
      <c r="B23" s="131">
        <f>DATE(2022,7,1)</f>
        <v>44743</v>
      </c>
      <c r="C23" s="204">
        <v>2670326</v>
      </c>
      <c r="D23" s="204">
        <v>637839.5</v>
      </c>
      <c r="E23" s="204">
        <v>753311.5</v>
      </c>
      <c r="F23" s="132">
        <f t="shared" ref="F23:F33" si="2">(+D23-E23)/E23</f>
        <v>-0.15328585850607618</v>
      </c>
      <c r="G23" s="215">
        <f t="shared" ref="G23:G33" si="3">D23/C23</f>
        <v>0.23886203407374232</v>
      </c>
      <c r="H23" s="123"/>
    </row>
    <row r="24" spans="1:8" ht="15.75" x14ac:dyDescent="0.25">
      <c r="A24" s="19"/>
      <c r="B24" s="131">
        <f>DATE(2022,8,1)</f>
        <v>44774</v>
      </c>
      <c r="C24" s="204">
        <v>2364635</v>
      </c>
      <c r="D24" s="204">
        <v>695761.5</v>
      </c>
      <c r="E24" s="204">
        <v>615974.5</v>
      </c>
      <c r="F24" s="132">
        <f t="shared" si="2"/>
        <v>0.12952971267479416</v>
      </c>
      <c r="G24" s="215">
        <f t="shared" si="3"/>
        <v>0.2942363197702817</v>
      </c>
      <c r="H24" s="123"/>
    </row>
    <row r="25" spans="1:8" ht="15.75" x14ac:dyDescent="0.25">
      <c r="A25" s="19"/>
      <c r="B25" s="131">
        <f>DATE(2022,9,1)</f>
        <v>44805</v>
      </c>
      <c r="C25" s="204">
        <v>2764905</v>
      </c>
      <c r="D25" s="204">
        <v>780368</v>
      </c>
      <c r="E25" s="204">
        <v>858656</v>
      </c>
      <c r="F25" s="132">
        <f t="shared" si="2"/>
        <v>-9.1175045652741024E-2</v>
      </c>
      <c r="G25" s="215">
        <f t="shared" si="3"/>
        <v>0.28224043864074894</v>
      </c>
      <c r="H25" s="123"/>
    </row>
    <row r="26" spans="1:8" ht="15.75" x14ac:dyDescent="0.25">
      <c r="A26" s="19"/>
      <c r="B26" s="131">
        <f>DATE(2022,10,1)</f>
        <v>44835</v>
      </c>
      <c r="C26" s="204">
        <v>2297950</v>
      </c>
      <c r="D26" s="204">
        <v>868243</v>
      </c>
      <c r="E26" s="204">
        <v>649914</v>
      </c>
      <c r="F26" s="132">
        <f t="shared" si="2"/>
        <v>0.33593521604396892</v>
      </c>
      <c r="G26" s="215">
        <f t="shared" si="3"/>
        <v>0.37783372136034293</v>
      </c>
      <c r="H26" s="123"/>
    </row>
    <row r="27" spans="1:8" ht="15.75" x14ac:dyDescent="0.25">
      <c r="A27" s="19"/>
      <c r="B27" s="131">
        <f>DATE(2022,11,1)</f>
        <v>44866</v>
      </c>
      <c r="C27" s="204">
        <v>2194110</v>
      </c>
      <c r="D27" s="204">
        <v>714136.5</v>
      </c>
      <c r="E27" s="204">
        <v>707738</v>
      </c>
      <c r="F27" s="132">
        <f t="shared" si="2"/>
        <v>9.0407749760504589E-3</v>
      </c>
      <c r="G27" s="215">
        <f t="shared" si="3"/>
        <v>0.3254788957709504</v>
      </c>
      <c r="H27" s="123"/>
    </row>
    <row r="28" spans="1:8" ht="15.75" x14ac:dyDescent="0.25">
      <c r="A28" s="19"/>
      <c r="B28" s="131">
        <f>DATE(2022,12,1)</f>
        <v>44896</v>
      </c>
      <c r="C28" s="204">
        <v>2541586</v>
      </c>
      <c r="D28" s="204">
        <v>736054</v>
      </c>
      <c r="E28" s="204">
        <v>706014</v>
      </c>
      <c r="F28" s="132">
        <f t="shared" si="2"/>
        <v>4.2548731328273942E-2</v>
      </c>
      <c r="G28" s="215">
        <f t="shared" si="3"/>
        <v>0.28960420776633172</v>
      </c>
      <c r="H28" s="123"/>
    </row>
    <row r="29" spans="1:8" ht="15.75" x14ac:dyDescent="0.25">
      <c r="A29" s="19"/>
      <c r="B29" s="131">
        <f>DATE(2023,1,1)</f>
        <v>44927</v>
      </c>
      <c r="C29" s="204">
        <v>2252589</v>
      </c>
      <c r="D29" s="204">
        <v>620241</v>
      </c>
      <c r="E29" s="204">
        <v>684356</v>
      </c>
      <c r="F29" s="132">
        <f t="shared" si="2"/>
        <v>-9.3686619244954375E-2</v>
      </c>
      <c r="G29" s="215">
        <f t="shared" si="3"/>
        <v>0.27534583539207552</v>
      </c>
      <c r="H29" s="123"/>
    </row>
    <row r="30" spans="1:8" ht="15.75" x14ac:dyDescent="0.25">
      <c r="A30" s="19"/>
      <c r="B30" s="131">
        <f>DATE(2023,2,1)</f>
        <v>44958</v>
      </c>
      <c r="C30" s="204">
        <v>2210443</v>
      </c>
      <c r="D30" s="204">
        <v>564375.5</v>
      </c>
      <c r="E30" s="204">
        <v>495607</v>
      </c>
      <c r="F30" s="132">
        <f t="shared" si="2"/>
        <v>0.13875611119294118</v>
      </c>
      <c r="G30" s="215">
        <f t="shared" si="3"/>
        <v>0.25532234941140758</v>
      </c>
      <c r="H30" s="123"/>
    </row>
    <row r="31" spans="1:8" ht="15.75" x14ac:dyDescent="0.25">
      <c r="A31" s="19"/>
      <c r="B31" s="131">
        <f>DATE(2023,3,1)</f>
        <v>44986</v>
      </c>
      <c r="C31" s="204">
        <v>2724556</v>
      </c>
      <c r="D31" s="204">
        <v>903835</v>
      </c>
      <c r="E31" s="204">
        <v>769345</v>
      </c>
      <c r="F31" s="132">
        <f t="shared" si="2"/>
        <v>0.17481104056047678</v>
      </c>
      <c r="G31" s="215">
        <f t="shared" si="3"/>
        <v>0.33173662057230607</v>
      </c>
      <c r="H31" s="123"/>
    </row>
    <row r="32" spans="1:8" ht="15.75" x14ac:dyDescent="0.25">
      <c r="A32" s="19"/>
      <c r="B32" s="131">
        <f>DATE(2023,4,1)</f>
        <v>45017</v>
      </c>
      <c r="C32" s="204">
        <v>2653760</v>
      </c>
      <c r="D32" s="204">
        <v>724571</v>
      </c>
      <c r="E32" s="204">
        <v>768964.5</v>
      </c>
      <c r="F32" s="132">
        <f t="shared" si="2"/>
        <v>-5.7731533770414629E-2</v>
      </c>
      <c r="G32" s="215">
        <f t="shared" si="3"/>
        <v>0.27303561738815868</v>
      </c>
      <c r="H32" s="123"/>
    </row>
    <row r="33" spans="1:8" ht="15.75" x14ac:dyDescent="0.25">
      <c r="A33" s="19"/>
      <c r="B33" s="131">
        <f>DATE(2023,5,1)</f>
        <v>45047</v>
      </c>
      <c r="C33" s="204">
        <v>2404726</v>
      </c>
      <c r="D33" s="204">
        <v>625242</v>
      </c>
      <c r="E33" s="204">
        <v>630725</v>
      </c>
      <c r="F33" s="132">
        <f t="shared" si="2"/>
        <v>-8.6931705576915458E-3</v>
      </c>
      <c r="G33" s="215">
        <f t="shared" si="3"/>
        <v>0.26000550582478005</v>
      </c>
      <c r="H33" s="123"/>
    </row>
    <row r="34" spans="1:8" ht="15.75" thickBot="1" x14ac:dyDescent="0.25">
      <c r="A34" s="133"/>
      <c r="B34" s="131"/>
      <c r="C34" s="204"/>
      <c r="D34" s="204"/>
      <c r="E34" s="204"/>
      <c r="F34" s="132"/>
      <c r="G34" s="215"/>
      <c r="H34" s="123"/>
    </row>
    <row r="35" spans="1:8" ht="17.25" thickTop="1" thickBot="1" x14ac:dyDescent="0.3">
      <c r="A35" s="135" t="s">
        <v>14</v>
      </c>
      <c r="B35" s="136"/>
      <c r="C35" s="201">
        <f>SUM(C23:C34)</f>
        <v>27079586</v>
      </c>
      <c r="D35" s="201">
        <f>SUM(D23:D34)</f>
        <v>7870667</v>
      </c>
      <c r="E35" s="201">
        <f>SUM(E23:E34)</f>
        <v>7640605.5</v>
      </c>
      <c r="F35" s="137">
        <f>(+D35-E35)/E35</f>
        <v>3.0110375414618647E-2</v>
      </c>
      <c r="G35" s="212">
        <f>D35/C35</f>
        <v>0.29064945823026983</v>
      </c>
      <c r="H35" s="123"/>
    </row>
    <row r="36" spans="1:8" ht="15.75" customHeight="1" thickTop="1" x14ac:dyDescent="0.25">
      <c r="A36" s="255"/>
      <c r="B36" s="139"/>
      <c r="C36" s="205"/>
      <c r="D36" s="205"/>
      <c r="E36" s="205"/>
      <c r="F36" s="140"/>
      <c r="G36" s="219"/>
      <c r="H36" s="123"/>
    </row>
    <row r="37" spans="1:8" ht="15.75" x14ac:dyDescent="0.25">
      <c r="A37" s="19" t="s">
        <v>62</v>
      </c>
      <c r="B37" s="131">
        <f>DATE(2022,7,1)</f>
        <v>44743</v>
      </c>
      <c r="C37" s="204">
        <v>1113934</v>
      </c>
      <c r="D37" s="204">
        <v>249087.5</v>
      </c>
      <c r="E37" s="204">
        <v>419659</v>
      </c>
      <c r="F37" s="132">
        <f t="shared" ref="F37:F47" si="4">(+D37-E37)/E37</f>
        <v>-0.40645261986517622</v>
      </c>
      <c r="G37" s="215">
        <f t="shared" ref="G37:G47" si="5">D37/C37</f>
        <v>0.2236106447958317</v>
      </c>
      <c r="H37" s="123"/>
    </row>
    <row r="38" spans="1:8" ht="15.75" x14ac:dyDescent="0.25">
      <c r="A38" s="19"/>
      <c r="B38" s="131">
        <f>DATE(2022,8,1)</f>
        <v>44774</v>
      </c>
      <c r="C38" s="204">
        <v>982269</v>
      </c>
      <c r="D38" s="204">
        <v>272495.5</v>
      </c>
      <c r="E38" s="204">
        <v>283741.5</v>
      </c>
      <c r="F38" s="132">
        <f t="shared" si="4"/>
        <v>-3.963466747021497E-2</v>
      </c>
      <c r="G38" s="215">
        <f t="shared" si="5"/>
        <v>0.2774143335481421</v>
      </c>
      <c r="H38" s="123"/>
    </row>
    <row r="39" spans="1:8" ht="15.75" x14ac:dyDescent="0.25">
      <c r="A39" s="19"/>
      <c r="B39" s="131">
        <f>DATE(2022,9,1)</f>
        <v>44805</v>
      </c>
      <c r="C39" s="204">
        <v>1082836</v>
      </c>
      <c r="D39" s="204">
        <v>310850</v>
      </c>
      <c r="E39" s="204">
        <v>271461</v>
      </c>
      <c r="F39" s="132">
        <f t="shared" si="4"/>
        <v>0.14510003278555667</v>
      </c>
      <c r="G39" s="215">
        <f t="shared" si="5"/>
        <v>0.28707024886501742</v>
      </c>
      <c r="H39" s="123"/>
    </row>
    <row r="40" spans="1:8" ht="15.75" x14ac:dyDescent="0.25">
      <c r="A40" s="19"/>
      <c r="B40" s="131">
        <f>DATE(2022,10,1)</f>
        <v>44835</v>
      </c>
      <c r="C40" s="204">
        <v>954912</v>
      </c>
      <c r="D40" s="204">
        <v>204149.5</v>
      </c>
      <c r="E40" s="204">
        <v>344180</v>
      </c>
      <c r="F40" s="132">
        <f t="shared" si="4"/>
        <v>-0.40685251903073971</v>
      </c>
      <c r="G40" s="215">
        <f t="shared" si="5"/>
        <v>0.21378880985891893</v>
      </c>
      <c r="H40" s="123"/>
    </row>
    <row r="41" spans="1:8" ht="15.75" x14ac:dyDescent="0.25">
      <c r="A41" s="19"/>
      <c r="B41" s="131">
        <f>DATE(2022,11,1)</f>
        <v>44866</v>
      </c>
      <c r="C41" s="204">
        <v>1174084</v>
      </c>
      <c r="D41" s="204">
        <v>292609</v>
      </c>
      <c r="E41" s="204">
        <v>349298.5</v>
      </c>
      <c r="F41" s="132">
        <f t="shared" si="4"/>
        <v>-0.16229528612347319</v>
      </c>
      <c r="G41" s="215">
        <f t="shared" si="5"/>
        <v>0.24922322423267843</v>
      </c>
      <c r="H41" s="123"/>
    </row>
    <row r="42" spans="1:8" ht="15.75" x14ac:dyDescent="0.25">
      <c r="A42" s="19"/>
      <c r="B42" s="131">
        <f>DATE(2022,12,1)</f>
        <v>44896</v>
      </c>
      <c r="C42" s="204">
        <v>1076281</v>
      </c>
      <c r="D42" s="204">
        <v>300188</v>
      </c>
      <c r="E42" s="204">
        <v>335226</v>
      </c>
      <c r="F42" s="132">
        <f t="shared" si="4"/>
        <v>-0.10452053241693664</v>
      </c>
      <c r="G42" s="215">
        <f t="shared" si="5"/>
        <v>0.27891229149264923</v>
      </c>
      <c r="H42" s="123"/>
    </row>
    <row r="43" spans="1:8" ht="15.75" x14ac:dyDescent="0.25">
      <c r="A43" s="19"/>
      <c r="B43" s="131">
        <f>DATE(2023,1,1)</f>
        <v>44927</v>
      </c>
      <c r="C43" s="204">
        <v>1214793</v>
      </c>
      <c r="D43" s="204">
        <v>379305</v>
      </c>
      <c r="E43" s="204">
        <v>314386</v>
      </c>
      <c r="F43" s="132">
        <f t="shared" si="4"/>
        <v>0.20649456400730312</v>
      </c>
      <c r="G43" s="215">
        <f t="shared" si="5"/>
        <v>0.31223838135386028</v>
      </c>
      <c r="H43" s="123"/>
    </row>
    <row r="44" spans="1:8" ht="15.75" x14ac:dyDescent="0.25">
      <c r="A44" s="19"/>
      <c r="B44" s="131">
        <f>DATE(2023,2,1)</f>
        <v>44958</v>
      </c>
      <c r="C44" s="204">
        <v>1195972</v>
      </c>
      <c r="D44" s="204">
        <v>255416</v>
      </c>
      <c r="E44" s="204">
        <v>260435</v>
      </c>
      <c r="F44" s="132">
        <f t="shared" si="4"/>
        <v>-1.9271603279129149E-2</v>
      </c>
      <c r="G44" s="215">
        <f t="shared" si="5"/>
        <v>0.21356352824313612</v>
      </c>
      <c r="H44" s="123"/>
    </row>
    <row r="45" spans="1:8" ht="15.75" x14ac:dyDescent="0.25">
      <c r="A45" s="19"/>
      <c r="B45" s="131">
        <f>DATE(2023,3,1)</f>
        <v>44986</v>
      </c>
      <c r="C45" s="204">
        <v>1375574</v>
      </c>
      <c r="D45" s="204">
        <v>323646</v>
      </c>
      <c r="E45" s="204">
        <v>412336.5</v>
      </c>
      <c r="F45" s="132">
        <f t="shared" si="4"/>
        <v>-0.21509252758366043</v>
      </c>
      <c r="G45" s="215">
        <f t="shared" si="5"/>
        <v>0.23528069009737027</v>
      </c>
      <c r="H45" s="123"/>
    </row>
    <row r="46" spans="1:8" ht="15.75" x14ac:dyDescent="0.25">
      <c r="A46" s="19"/>
      <c r="B46" s="131">
        <f>DATE(2023,4,1)</f>
        <v>45017</v>
      </c>
      <c r="C46" s="204">
        <v>1298614</v>
      </c>
      <c r="D46" s="204">
        <v>368001.5</v>
      </c>
      <c r="E46" s="204">
        <v>414568.5</v>
      </c>
      <c r="F46" s="132">
        <f t="shared" si="4"/>
        <v>-0.11232643097582184</v>
      </c>
      <c r="G46" s="215">
        <f t="shared" si="5"/>
        <v>0.28338020381730061</v>
      </c>
      <c r="H46" s="123"/>
    </row>
    <row r="47" spans="1:8" ht="15.75" x14ac:dyDescent="0.25">
      <c r="A47" s="19"/>
      <c r="B47" s="131">
        <f>DATE(2023,5,1)</f>
        <v>45047</v>
      </c>
      <c r="C47" s="204">
        <v>1158240</v>
      </c>
      <c r="D47" s="204">
        <v>288532</v>
      </c>
      <c r="E47" s="204">
        <v>334374.5</v>
      </c>
      <c r="F47" s="132">
        <f t="shared" si="4"/>
        <v>-0.13709927042881559</v>
      </c>
      <c r="G47" s="215">
        <f t="shared" si="5"/>
        <v>0.24911244647050698</v>
      </c>
      <c r="H47" s="123"/>
    </row>
    <row r="48" spans="1:8" ht="15.75" thickBot="1" x14ac:dyDescent="0.25">
      <c r="A48" s="133"/>
      <c r="B48" s="131"/>
      <c r="C48" s="204"/>
      <c r="D48" s="204"/>
      <c r="E48" s="204"/>
      <c r="F48" s="132"/>
      <c r="G48" s="215"/>
      <c r="H48" s="123"/>
    </row>
    <row r="49" spans="1:8" ht="17.25" thickTop="1" thickBot="1" x14ac:dyDescent="0.3">
      <c r="A49" s="141" t="s">
        <v>14</v>
      </c>
      <c r="B49" s="142"/>
      <c r="C49" s="206">
        <f>SUM(C37:C48)</f>
        <v>12627509</v>
      </c>
      <c r="D49" s="206">
        <f>SUM(D37:D48)</f>
        <v>3244280</v>
      </c>
      <c r="E49" s="206">
        <f>SUM(E37:E48)</f>
        <v>3739666.5</v>
      </c>
      <c r="F49" s="143">
        <f>(+D49-E49)/E49</f>
        <v>-0.13246809575131901</v>
      </c>
      <c r="G49" s="217">
        <f>D49/C49</f>
        <v>0.25692161454804746</v>
      </c>
      <c r="H49" s="123"/>
    </row>
    <row r="50" spans="1:8" ht="15.75" thickTop="1" x14ac:dyDescent="0.2">
      <c r="A50" s="133"/>
      <c r="B50" s="134"/>
      <c r="C50" s="204"/>
      <c r="D50" s="204"/>
      <c r="E50" s="204"/>
      <c r="F50" s="132"/>
      <c r="G50" s="218"/>
      <c r="H50" s="123"/>
    </row>
    <row r="51" spans="1:8" ht="15.75" x14ac:dyDescent="0.25">
      <c r="A51" s="177" t="s">
        <v>58</v>
      </c>
      <c r="B51" s="131">
        <f>DATE(2022,7,1)</f>
        <v>44743</v>
      </c>
      <c r="C51" s="204">
        <v>14706873</v>
      </c>
      <c r="D51" s="204">
        <v>3390213</v>
      </c>
      <c r="E51" s="204">
        <v>2503983</v>
      </c>
      <c r="F51" s="132">
        <f t="shared" ref="F51:F61" si="6">(+D51-E51)/E51</f>
        <v>0.3539281217164813</v>
      </c>
      <c r="G51" s="215">
        <f t="shared" ref="G51:G61" si="7">D51/C51</f>
        <v>0.23051895532109376</v>
      </c>
      <c r="H51" s="123"/>
    </row>
    <row r="52" spans="1:8" ht="15.75" x14ac:dyDescent="0.25">
      <c r="A52" s="177"/>
      <c r="B52" s="131">
        <f>DATE(2022,8,1)</f>
        <v>44774</v>
      </c>
      <c r="C52" s="204">
        <v>13496707</v>
      </c>
      <c r="D52" s="204">
        <v>2096973.67</v>
      </c>
      <c r="E52" s="204">
        <v>2387806</v>
      </c>
      <c r="F52" s="132">
        <f t="shared" si="6"/>
        <v>-0.12179897780640474</v>
      </c>
      <c r="G52" s="215">
        <f t="shared" si="7"/>
        <v>0.15536928155882765</v>
      </c>
      <c r="H52" s="123"/>
    </row>
    <row r="53" spans="1:8" ht="15.75" x14ac:dyDescent="0.25">
      <c r="A53" s="177"/>
      <c r="B53" s="131">
        <f>DATE(2022,9,1)</f>
        <v>44805</v>
      </c>
      <c r="C53" s="204">
        <v>14000972</v>
      </c>
      <c r="D53" s="204">
        <v>3937084.53</v>
      </c>
      <c r="E53" s="204">
        <v>2689723.5</v>
      </c>
      <c r="F53" s="132">
        <f t="shared" si="6"/>
        <v>0.463750653180522</v>
      </c>
      <c r="G53" s="215">
        <f t="shared" si="7"/>
        <v>0.281200800201586</v>
      </c>
      <c r="H53" s="123"/>
    </row>
    <row r="54" spans="1:8" ht="15.75" x14ac:dyDescent="0.25">
      <c r="A54" s="177"/>
      <c r="B54" s="131">
        <f>DATE(2022,10,1)</f>
        <v>44835</v>
      </c>
      <c r="C54" s="204">
        <v>12585717</v>
      </c>
      <c r="D54" s="204">
        <v>2819327.04</v>
      </c>
      <c r="E54" s="204">
        <v>2470116.0299999998</v>
      </c>
      <c r="F54" s="132">
        <f t="shared" si="6"/>
        <v>0.14137433454897269</v>
      </c>
      <c r="G54" s="215">
        <f t="shared" si="7"/>
        <v>0.2240100456732024</v>
      </c>
      <c r="H54" s="123"/>
    </row>
    <row r="55" spans="1:8" ht="15.75" x14ac:dyDescent="0.25">
      <c r="A55" s="177"/>
      <c r="B55" s="131">
        <f>DATE(2022,11,1)</f>
        <v>44866</v>
      </c>
      <c r="C55" s="204">
        <v>13050666</v>
      </c>
      <c r="D55" s="204">
        <v>2876740.26</v>
      </c>
      <c r="E55" s="204">
        <v>3414579.43</v>
      </c>
      <c r="F55" s="132">
        <f t="shared" si="6"/>
        <v>-0.15751256663547591</v>
      </c>
      <c r="G55" s="215">
        <f t="shared" si="7"/>
        <v>0.22042861720620233</v>
      </c>
      <c r="H55" s="123"/>
    </row>
    <row r="56" spans="1:8" ht="15.75" x14ac:dyDescent="0.25">
      <c r="A56" s="177"/>
      <c r="B56" s="131">
        <f>DATE(2022,12,1)</f>
        <v>44896</v>
      </c>
      <c r="C56" s="204">
        <v>13836635</v>
      </c>
      <c r="D56" s="204">
        <v>3108188.89</v>
      </c>
      <c r="E56" s="204">
        <v>3251944</v>
      </c>
      <c r="F56" s="132">
        <f t="shared" si="6"/>
        <v>-4.4205899609587332E-2</v>
      </c>
      <c r="G56" s="215">
        <f t="shared" si="7"/>
        <v>0.2246347388653383</v>
      </c>
      <c r="H56" s="123"/>
    </row>
    <row r="57" spans="1:8" ht="15.75" x14ac:dyDescent="0.25">
      <c r="A57" s="177"/>
      <c r="B57" s="131">
        <f>DATE(2023,1,1)</f>
        <v>44927</v>
      </c>
      <c r="C57" s="204">
        <v>13524974</v>
      </c>
      <c r="D57" s="204">
        <v>2951407.99</v>
      </c>
      <c r="E57" s="204">
        <v>3271232.5</v>
      </c>
      <c r="F57" s="132">
        <f t="shared" si="6"/>
        <v>-9.7768810379573995E-2</v>
      </c>
      <c r="G57" s="215">
        <f t="shared" si="7"/>
        <v>0.21821912485746739</v>
      </c>
      <c r="H57" s="123"/>
    </row>
    <row r="58" spans="1:8" ht="15.75" x14ac:dyDescent="0.25">
      <c r="A58" s="177"/>
      <c r="B58" s="131">
        <f>DATE(2023,2,1)</f>
        <v>44958</v>
      </c>
      <c r="C58" s="204">
        <v>14609035</v>
      </c>
      <c r="D58" s="204">
        <v>2375670.2999999998</v>
      </c>
      <c r="E58" s="204">
        <v>2578515.35</v>
      </c>
      <c r="F58" s="132">
        <f t="shared" si="6"/>
        <v>-7.8667381212215892E-2</v>
      </c>
      <c r="G58" s="215">
        <f t="shared" si="7"/>
        <v>0.16261651094682159</v>
      </c>
      <c r="H58" s="123"/>
    </row>
    <row r="59" spans="1:8" ht="15.75" x14ac:dyDescent="0.25">
      <c r="A59" s="177"/>
      <c r="B59" s="131">
        <f>DATE(2023,3,1)</f>
        <v>44986</v>
      </c>
      <c r="C59" s="204">
        <v>16407819</v>
      </c>
      <c r="D59" s="204">
        <v>3353751.65</v>
      </c>
      <c r="E59" s="204">
        <v>2838724.85</v>
      </c>
      <c r="F59" s="132">
        <f t="shared" si="6"/>
        <v>0.18142892573755423</v>
      </c>
      <c r="G59" s="215">
        <f t="shared" si="7"/>
        <v>0.20439960058067436</v>
      </c>
      <c r="H59" s="123"/>
    </row>
    <row r="60" spans="1:8" ht="15.75" x14ac:dyDescent="0.25">
      <c r="A60" s="177"/>
      <c r="B60" s="131">
        <f>DATE(2023,4,1)</f>
        <v>45017</v>
      </c>
      <c r="C60" s="204">
        <v>14985752</v>
      </c>
      <c r="D60" s="204">
        <v>3123735.42</v>
      </c>
      <c r="E60" s="204">
        <v>3049083.5</v>
      </c>
      <c r="F60" s="132">
        <f t="shared" si="6"/>
        <v>2.4483396404198155E-2</v>
      </c>
      <c r="G60" s="215">
        <f t="shared" si="7"/>
        <v>0.20844702488070002</v>
      </c>
      <c r="H60" s="123"/>
    </row>
    <row r="61" spans="1:8" ht="15.75" x14ac:dyDescent="0.25">
      <c r="A61" s="177"/>
      <c r="B61" s="131">
        <f>DATE(2023,5,1)</f>
        <v>45047</v>
      </c>
      <c r="C61" s="204">
        <v>15263153</v>
      </c>
      <c r="D61" s="204">
        <v>3737478</v>
      </c>
      <c r="E61" s="204">
        <v>2841348.5</v>
      </c>
      <c r="F61" s="132">
        <f t="shared" si="6"/>
        <v>0.31538880218318871</v>
      </c>
      <c r="G61" s="215">
        <f t="shared" si="7"/>
        <v>0.24486932680292203</v>
      </c>
      <c r="H61" s="123"/>
    </row>
    <row r="62" spans="1:8" ht="15.75" customHeight="1" thickBot="1" x14ac:dyDescent="0.25">
      <c r="A62" s="133"/>
      <c r="B62" s="134"/>
      <c r="C62" s="204"/>
      <c r="D62" s="204"/>
      <c r="E62" s="204"/>
      <c r="F62" s="132"/>
      <c r="G62" s="215"/>
      <c r="H62" s="123"/>
    </row>
    <row r="63" spans="1:8" ht="17.25" customHeight="1" thickTop="1" thickBot="1" x14ac:dyDescent="0.3">
      <c r="A63" s="141" t="s">
        <v>14</v>
      </c>
      <c r="B63" s="142"/>
      <c r="C63" s="206">
        <f>SUM(C51:C62)</f>
        <v>156468303</v>
      </c>
      <c r="D63" s="206">
        <f>SUM(D51:D62)</f>
        <v>33770570.749999993</v>
      </c>
      <c r="E63" s="206">
        <f>SUM(E51:E62)</f>
        <v>31297056.660000004</v>
      </c>
      <c r="F63" s="143">
        <f>(+D63-E63)/E63</f>
        <v>7.9033441287190628E-2</v>
      </c>
      <c r="G63" s="217">
        <f>D63/C63</f>
        <v>0.21583010809543957</v>
      </c>
      <c r="H63" s="123"/>
    </row>
    <row r="64" spans="1:8" ht="15.75" customHeight="1" thickTop="1" x14ac:dyDescent="0.2">
      <c r="A64" s="133"/>
      <c r="B64" s="134"/>
      <c r="C64" s="204"/>
      <c r="D64" s="204"/>
      <c r="E64" s="204"/>
      <c r="F64" s="132"/>
      <c r="G64" s="218"/>
      <c r="H64" s="123"/>
    </row>
    <row r="65" spans="1:8" ht="15" customHeight="1" x14ac:dyDescent="0.25">
      <c r="A65" s="130" t="s">
        <v>60</v>
      </c>
      <c r="B65" s="131">
        <f>DATE(2022,7,1)</f>
        <v>44743</v>
      </c>
      <c r="C65" s="204">
        <v>14151945</v>
      </c>
      <c r="D65" s="204">
        <v>3195567.5</v>
      </c>
      <c r="E65" s="204">
        <v>3475895.5</v>
      </c>
      <c r="F65" s="132">
        <f t="shared" ref="F65:F75" si="8">(+D65-E65)/E65</f>
        <v>-8.0649144946964027E-2</v>
      </c>
      <c r="G65" s="215">
        <f t="shared" ref="G65:G75" si="9">D65/C65</f>
        <v>0.22580412091765478</v>
      </c>
      <c r="H65" s="123"/>
    </row>
    <row r="66" spans="1:8" ht="15" customHeight="1" x14ac:dyDescent="0.25">
      <c r="A66" s="130"/>
      <c r="B66" s="131">
        <f>DATE(2022,8,1)</f>
        <v>44774</v>
      </c>
      <c r="C66" s="204">
        <v>12695452</v>
      </c>
      <c r="D66" s="204">
        <v>3909171</v>
      </c>
      <c r="E66" s="204">
        <v>1742952</v>
      </c>
      <c r="F66" s="132">
        <f t="shared" si="8"/>
        <v>1.2428448976219655</v>
      </c>
      <c r="G66" s="215">
        <f t="shared" si="9"/>
        <v>0.30791900910656822</v>
      </c>
      <c r="H66" s="123"/>
    </row>
    <row r="67" spans="1:8" ht="15" customHeight="1" x14ac:dyDescent="0.25">
      <c r="A67" s="130"/>
      <c r="B67" s="131">
        <f>DATE(2022,9,1)</f>
        <v>44805</v>
      </c>
      <c r="C67" s="204">
        <v>12298202</v>
      </c>
      <c r="D67" s="204">
        <v>3778062.5</v>
      </c>
      <c r="E67" s="204">
        <v>3305560.5</v>
      </c>
      <c r="F67" s="132">
        <f t="shared" si="8"/>
        <v>0.14294156770084832</v>
      </c>
      <c r="G67" s="215">
        <f t="shared" si="9"/>
        <v>0.30720445964377557</v>
      </c>
      <c r="H67" s="123"/>
    </row>
    <row r="68" spans="1:8" ht="15" customHeight="1" x14ac:dyDescent="0.25">
      <c r="A68" s="130"/>
      <c r="B68" s="131">
        <f>DATE(2022,10,1)</f>
        <v>44835</v>
      </c>
      <c r="C68" s="204">
        <v>12569173</v>
      </c>
      <c r="D68" s="204">
        <v>1234436</v>
      </c>
      <c r="E68" s="204">
        <v>3513957.5</v>
      </c>
      <c r="F68" s="132">
        <f t="shared" si="8"/>
        <v>-0.64870491461550117</v>
      </c>
      <c r="G68" s="215">
        <f t="shared" si="9"/>
        <v>9.8211393860200669E-2</v>
      </c>
      <c r="H68" s="123"/>
    </row>
    <row r="69" spans="1:8" ht="15" customHeight="1" x14ac:dyDescent="0.25">
      <c r="A69" s="130"/>
      <c r="B69" s="131">
        <f>DATE(2022,11,1)</f>
        <v>44866</v>
      </c>
      <c r="C69" s="204">
        <v>12421811</v>
      </c>
      <c r="D69" s="204">
        <v>3487549</v>
      </c>
      <c r="E69" s="204">
        <v>3943943</v>
      </c>
      <c r="F69" s="132">
        <f t="shared" si="8"/>
        <v>-0.11572023226502005</v>
      </c>
      <c r="G69" s="215">
        <f t="shared" si="9"/>
        <v>0.28076010816780256</v>
      </c>
      <c r="H69" s="123"/>
    </row>
    <row r="70" spans="1:8" ht="15" customHeight="1" x14ac:dyDescent="0.25">
      <c r="A70" s="130"/>
      <c r="B70" s="131">
        <f>DATE(2022,12,1)</f>
        <v>44896</v>
      </c>
      <c r="C70" s="204">
        <v>11896885</v>
      </c>
      <c r="D70" s="204">
        <v>3689598</v>
      </c>
      <c r="E70" s="204">
        <v>2827634.5</v>
      </c>
      <c r="F70" s="132">
        <f t="shared" si="8"/>
        <v>0.30483554363196519</v>
      </c>
      <c r="G70" s="215">
        <f t="shared" si="9"/>
        <v>0.31013143356433215</v>
      </c>
      <c r="H70" s="123"/>
    </row>
    <row r="71" spans="1:8" ht="15" customHeight="1" x14ac:dyDescent="0.25">
      <c r="A71" s="130"/>
      <c r="B71" s="131">
        <f>DATE(2023,1,1)</f>
        <v>44927</v>
      </c>
      <c r="C71" s="204">
        <v>12167419.75</v>
      </c>
      <c r="D71" s="204">
        <v>3432704.75</v>
      </c>
      <c r="E71" s="204">
        <v>3537082.5</v>
      </c>
      <c r="F71" s="132">
        <f t="shared" si="8"/>
        <v>-2.9509560492298383E-2</v>
      </c>
      <c r="G71" s="215">
        <f t="shared" si="9"/>
        <v>0.28212265381902352</v>
      </c>
      <c r="H71" s="123"/>
    </row>
    <row r="72" spans="1:8" ht="15" customHeight="1" x14ac:dyDescent="0.25">
      <c r="A72" s="130"/>
      <c r="B72" s="131">
        <f>DATE(2023,2,1)</f>
        <v>44958</v>
      </c>
      <c r="C72" s="204">
        <v>10601608</v>
      </c>
      <c r="D72" s="204">
        <v>3123761.5</v>
      </c>
      <c r="E72" s="204">
        <v>1988046.25</v>
      </c>
      <c r="F72" s="132">
        <f t="shared" si="8"/>
        <v>0.57127204661360365</v>
      </c>
      <c r="G72" s="215">
        <f t="shared" si="9"/>
        <v>0.29464978331588942</v>
      </c>
      <c r="H72" s="123"/>
    </row>
    <row r="73" spans="1:8" ht="15" customHeight="1" x14ac:dyDescent="0.25">
      <c r="A73" s="130"/>
      <c r="B73" s="131">
        <f>DATE(2023,3,1)</f>
        <v>44986</v>
      </c>
      <c r="C73" s="204">
        <v>12873061</v>
      </c>
      <c r="D73" s="204">
        <v>3779533.5</v>
      </c>
      <c r="E73" s="204">
        <v>4616996.5</v>
      </c>
      <c r="F73" s="132">
        <f t="shared" si="8"/>
        <v>-0.18138696877937854</v>
      </c>
      <c r="G73" s="215">
        <f t="shared" si="9"/>
        <v>0.29360021676274195</v>
      </c>
      <c r="H73" s="123"/>
    </row>
    <row r="74" spans="1:8" ht="15" customHeight="1" x14ac:dyDescent="0.25">
      <c r="A74" s="130"/>
      <c r="B74" s="131">
        <f>DATE(2023,4,1)</f>
        <v>45017</v>
      </c>
      <c r="C74" s="204">
        <v>11869521.5</v>
      </c>
      <c r="D74" s="204">
        <v>2915753.5</v>
      </c>
      <c r="E74" s="204">
        <v>3305603</v>
      </c>
      <c r="F74" s="132">
        <f t="shared" si="8"/>
        <v>-0.1179359711374899</v>
      </c>
      <c r="G74" s="215">
        <f t="shared" si="9"/>
        <v>0.24565046703862495</v>
      </c>
      <c r="H74" s="123"/>
    </row>
    <row r="75" spans="1:8" ht="15" customHeight="1" x14ac:dyDescent="0.25">
      <c r="A75" s="130"/>
      <c r="B75" s="131">
        <f>DATE(2023,5,1)</f>
        <v>45047</v>
      </c>
      <c r="C75" s="204">
        <v>13364776</v>
      </c>
      <c r="D75" s="204">
        <v>3470947.5</v>
      </c>
      <c r="E75" s="204">
        <v>3165930</v>
      </c>
      <c r="F75" s="132">
        <f t="shared" si="8"/>
        <v>9.6343728383129129E-2</v>
      </c>
      <c r="G75" s="215">
        <f t="shared" si="9"/>
        <v>0.25970861763788633</v>
      </c>
      <c r="H75" s="123"/>
    </row>
    <row r="76" spans="1:8" ht="15.75" thickBot="1" x14ac:dyDescent="0.25">
      <c r="A76" s="133"/>
      <c r="B76" s="131"/>
      <c r="C76" s="204"/>
      <c r="D76" s="204"/>
      <c r="E76" s="204"/>
      <c r="F76" s="132"/>
      <c r="G76" s="215"/>
      <c r="H76" s="123"/>
    </row>
    <row r="77" spans="1:8" ht="17.25" customHeight="1" thickTop="1" thickBot="1" x14ac:dyDescent="0.3">
      <c r="A77" s="141" t="s">
        <v>14</v>
      </c>
      <c r="B77" s="142"/>
      <c r="C77" s="207">
        <f>SUM(C65:C76)</f>
        <v>136909854.25</v>
      </c>
      <c r="D77" s="261">
        <f>SUM(D65:D76)</f>
        <v>36017084.75</v>
      </c>
      <c r="E77" s="206">
        <f>SUM(E65:E76)</f>
        <v>35423601.25</v>
      </c>
      <c r="F77" s="268">
        <f>(+D77-E77)/E77</f>
        <v>1.6753900762701252E-2</v>
      </c>
      <c r="G77" s="267">
        <f>D77/C77</f>
        <v>0.26307152941841655</v>
      </c>
      <c r="H77" s="123"/>
    </row>
    <row r="78" spans="1:8" ht="15.75" customHeight="1" thickTop="1" x14ac:dyDescent="0.25">
      <c r="A78" s="130"/>
      <c r="B78" s="134"/>
      <c r="C78" s="204"/>
      <c r="D78" s="204"/>
      <c r="E78" s="204"/>
      <c r="F78" s="132"/>
      <c r="G78" s="218"/>
      <c r="H78" s="123"/>
    </row>
    <row r="79" spans="1:8" ht="15.75" x14ac:dyDescent="0.25">
      <c r="A79" s="130" t="s">
        <v>64</v>
      </c>
      <c r="B79" s="131">
        <f>DATE(2022,7,1)</f>
        <v>44743</v>
      </c>
      <c r="C79" s="204">
        <v>3016522</v>
      </c>
      <c r="D79" s="204">
        <v>700930</v>
      </c>
      <c r="E79" s="204">
        <v>729030</v>
      </c>
      <c r="F79" s="132">
        <f t="shared" ref="F79:F89" si="10">(+D79-E79)/E79</f>
        <v>-3.8544367172818679E-2</v>
      </c>
      <c r="G79" s="215">
        <f t="shared" ref="G79:G89" si="11">D79/C79</f>
        <v>0.23236362937183949</v>
      </c>
      <c r="H79" s="123"/>
    </row>
    <row r="80" spans="1:8" ht="15.75" x14ac:dyDescent="0.25">
      <c r="A80" s="130"/>
      <c r="B80" s="131">
        <f>DATE(2022,8,1)</f>
        <v>44774</v>
      </c>
      <c r="C80" s="204">
        <v>2699781</v>
      </c>
      <c r="D80" s="204">
        <v>630145.5</v>
      </c>
      <c r="E80" s="204">
        <v>844084.5</v>
      </c>
      <c r="F80" s="132">
        <f t="shared" si="10"/>
        <v>-0.25345685177254174</v>
      </c>
      <c r="G80" s="215">
        <f t="shared" si="11"/>
        <v>0.23340615405471776</v>
      </c>
      <c r="H80" s="123"/>
    </row>
    <row r="81" spans="1:8" ht="15.75" x14ac:dyDescent="0.25">
      <c r="A81" s="130"/>
      <c r="B81" s="131">
        <f>DATE(2022,9,1)</f>
        <v>44805</v>
      </c>
      <c r="C81" s="204">
        <v>2497205</v>
      </c>
      <c r="D81" s="204">
        <v>538940</v>
      </c>
      <c r="E81" s="204">
        <v>707619</v>
      </c>
      <c r="F81" s="132">
        <f t="shared" si="10"/>
        <v>-0.23837545345729835</v>
      </c>
      <c r="G81" s="215">
        <f t="shared" si="11"/>
        <v>0.21581728372320255</v>
      </c>
      <c r="H81" s="123"/>
    </row>
    <row r="82" spans="1:8" ht="15.75" x14ac:dyDescent="0.25">
      <c r="A82" s="130"/>
      <c r="B82" s="131">
        <f>DATE(2022,10,1)</f>
        <v>44835</v>
      </c>
      <c r="C82" s="204">
        <v>2946833</v>
      </c>
      <c r="D82" s="204">
        <v>664586</v>
      </c>
      <c r="E82" s="204">
        <v>435392</v>
      </c>
      <c r="F82" s="132">
        <f t="shared" si="10"/>
        <v>0.52640838600617379</v>
      </c>
      <c r="G82" s="215">
        <f t="shared" si="11"/>
        <v>0.22552550483858433</v>
      </c>
      <c r="H82" s="123"/>
    </row>
    <row r="83" spans="1:8" ht="15.75" x14ac:dyDescent="0.25">
      <c r="A83" s="130"/>
      <c r="B83" s="131">
        <f>DATE(2022,11,1)</f>
        <v>44866</v>
      </c>
      <c r="C83" s="204">
        <v>2417115</v>
      </c>
      <c r="D83" s="204">
        <v>644592.5</v>
      </c>
      <c r="E83" s="204">
        <v>706210</v>
      </c>
      <c r="F83" s="132">
        <f t="shared" si="10"/>
        <v>-8.7250959346370061E-2</v>
      </c>
      <c r="G83" s="215">
        <f t="shared" si="11"/>
        <v>0.2666784575826967</v>
      </c>
      <c r="H83" s="123"/>
    </row>
    <row r="84" spans="1:8" ht="15.75" x14ac:dyDescent="0.25">
      <c r="A84" s="130"/>
      <c r="B84" s="131">
        <f>DATE(2022,12,1)</f>
        <v>44896</v>
      </c>
      <c r="C84" s="204">
        <v>2832616</v>
      </c>
      <c r="D84" s="204">
        <v>621789.5</v>
      </c>
      <c r="E84" s="204">
        <v>737876.5</v>
      </c>
      <c r="F84" s="132">
        <f t="shared" si="10"/>
        <v>-0.15732578554812357</v>
      </c>
      <c r="G84" s="215">
        <f t="shared" si="11"/>
        <v>0.21951069258946501</v>
      </c>
      <c r="H84" s="123"/>
    </row>
    <row r="85" spans="1:8" ht="15.75" x14ac:dyDescent="0.25">
      <c r="A85" s="130"/>
      <c r="B85" s="131">
        <f>DATE(2023,1,1)</f>
        <v>44927</v>
      </c>
      <c r="C85" s="204">
        <v>2596608</v>
      </c>
      <c r="D85" s="204">
        <v>561543</v>
      </c>
      <c r="E85" s="204">
        <v>670212</v>
      </c>
      <c r="F85" s="132">
        <f t="shared" si="10"/>
        <v>-0.16214123292331381</v>
      </c>
      <c r="G85" s="215">
        <f t="shared" si="11"/>
        <v>0.21626021332446022</v>
      </c>
      <c r="H85" s="123"/>
    </row>
    <row r="86" spans="1:8" ht="15.75" x14ac:dyDescent="0.25">
      <c r="A86" s="130"/>
      <c r="B86" s="131">
        <f>DATE(2023,2,1)</f>
        <v>44958</v>
      </c>
      <c r="C86" s="204">
        <v>2565563</v>
      </c>
      <c r="D86" s="204">
        <v>653096</v>
      </c>
      <c r="E86" s="204">
        <v>521651.5</v>
      </c>
      <c r="F86" s="132">
        <f t="shared" si="10"/>
        <v>0.25197761340665176</v>
      </c>
      <c r="G86" s="215">
        <f t="shared" si="11"/>
        <v>0.25456244886599938</v>
      </c>
      <c r="H86" s="123"/>
    </row>
    <row r="87" spans="1:8" ht="15.75" x14ac:dyDescent="0.25">
      <c r="A87" s="130"/>
      <c r="B87" s="131">
        <f>DATE(2023,3,1)</f>
        <v>44986</v>
      </c>
      <c r="C87" s="204">
        <v>2833877</v>
      </c>
      <c r="D87" s="204">
        <v>665245.5</v>
      </c>
      <c r="E87" s="204">
        <v>982292</v>
      </c>
      <c r="F87" s="132">
        <f t="shared" si="10"/>
        <v>-0.32276196894609749</v>
      </c>
      <c r="G87" s="215">
        <f t="shared" si="11"/>
        <v>0.23474748551189767</v>
      </c>
      <c r="H87" s="123"/>
    </row>
    <row r="88" spans="1:8" ht="15.75" x14ac:dyDescent="0.25">
      <c r="A88" s="130"/>
      <c r="B88" s="131">
        <f>DATE(2023,4,1)</f>
        <v>45017</v>
      </c>
      <c r="C88" s="204">
        <v>2625256</v>
      </c>
      <c r="D88" s="204">
        <v>455284</v>
      </c>
      <c r="E88" s="204">
        <v>794810.5</v>
      </c>
      <c r="F88" s="132">
        <f t="shared" si="10"/>
        <v>-0.42717918296247975</v>
      </c>
      <c r="G88" s="215">
        <f t="shared" si="11"/>
        <v>0.17342461078081528</v>
      </c>
      <c r="H88" s="123"/>
    </row>
    <row r="89" spans="1:8" ht="15.75" x14ac:dyDescent="0.25">
      <c r="A89" s="130"/>
      <c r="B89" s="131">
        <f>DATE(2023,5,1)</f>
        <v>45047</v>
      </c>
      <c r="C89" s="204">
        <v>2653249</v>
      </c>
      <c r="D89" s="204">
        <v>694793.5</v>
      </c>
      <c r="E89" s="204">
        <v>711360.5</v>
      </c>
      <c r="F89" s="132">
        <f t="shared" si="10"/>
        <v>-2.3289176163140912E-2</v>
      </c>
      <c r="G89" s="215">
        <f t="shared" si="11"/>
        <v>0.26186516983517188</v>
      </c>
      <c r="H89" s="123"/>
    </row>
    <row r="90" spans="1:8" ht="15.75" customHeight="1" thickBot="1" x14ac:dyDescent="0.3">
      <c r="A90" s="130"/>
      <c r="B90" s="131"/>
      <c r="C90" s="204"/>
      <c r="D90" s="204"/>
      <c r="E90" s="204"/>
      <c r="F90" s="132"/>
      <c r="G90" s="215"/>
      <c r="H90" s="123"/>
    </row>
    <row r="91" spans="1:8" ht="17.25" thickTop="1" thickBot="1" x14ac:dyDescent="0.3">
      <c r="A91" s="141" t="s">
        <v>14</v>
      </c>
      <c r="B91" s="142"/>
      <c r="C91" s="207">
        <f>SUM(C79:C90)</f>
        <v>29684625</v>
      </c>
      <c r="D91" s="261">
        <f>SUM(D79:D90)</f>
        <v>6830945.5</v>
      </c>
      <c r="E91" s="207">
        <f>SUM(E79:E90)</f>
        <v>7840538.5</v>
      </c>
      <c r="F91" s="268">
        <f>(+D91-E91)/E91</f>
        <v>-0.12876577291215394</v>
      </c>
      <c r="G91" s="267">
        <f>D91/C91</f>
        <v>0.23011729135874212</v>
      </c>
      <c r="H91" s="123"/>
    </row>
    <row r="92" spans="1:8" ht="15.75" customHeight="1" thickTop="1" x14ac:dyDescent="0.25">
      <c r="A92" s="130"/>
      <c r="B92" s="134"/>
      <c r="C92" s="204"/>
      <c r="D92" s="204"/>
      <c r="E92" s="204"/>
      <c r="F92" s="132"/>
      <c r="G92" s="218"/>
      <c r="H92" s="123"/>
    </row>
    <row r="93" spans="1:8" ht="15.75" x14ac:dyDescent="0.25">
      <c r="A93" s="130" t="s">
        <v>67</v>
      </c>
      <c r="B93" s="131">
        <f>DATE(2022,7,1)</f>
        <v>44743</v>
      </c>
      <c r="C93" s="204">
        <v>6177101</v>
      </c>
      <c r="D93" s="204">
        <v>951854</v>
      </c>
      <c r="E93" s="204">
        <v>1067021</v>
      </c>
      <c r="F93" s="132">
        <f t="shared" ref="F93:F103" si="12">(+D93-E93)/E93</f>
        <v>-0.10793320843732222</v>
      </c>
      <c r="G93" s="215">
        <f t="shared" ref="G93:G103" si="13">D93/C93</f>
        <v>0.15409396738049128</v>
      </c>
      <c r="H93" s="123"/>
    </row>
    <row r="94" spans="1:8" ht="15.75" x14ac:dyDescent="0.25">
      <c r="A94" s="130"/>
      <c r="B94" s="131">
        <f>DATE(2022,8,1)</f>
        <v>44774</v>
      </c>
      <c r="C94" s="204">
        <v>6063193</v>
      </c>
      <c r="D94" s="204">
        <v>1029739</v>
      </c>
      <c r="E94" s="204">
        <v>666603.5</v>
      </c>
      <c r="F94" s="132">
        <f t="shared" si="12"/>
        <v>0.54475486552350838</v>
      </c>
      <c r="G94" s="215">
        <f t="shared" si="13"/>
        <v>0.16983444201759701</v>
      </c>
      <c r="H94" s="123"/>
    </row>
    <row r="95" spans="1:8" ht="15.75" x14ac:dyDescent="0.25">
      <c r="A95" s="130"/>
      <c r="B95" s="131">
        <f>DATE(2022,9,1)</f>
        <v>44805</v>
      </c>
      <c r="C95" s="204">
        <v>6587163</v>
      </c>
      <c r="D95" s="204">
        <v>389281</v>
      </c>
      <c r="E95" s="204">
        <v>1135711.5</v>
      </c>
      <c r="F95" s="132">
        <f t="shared" si="12"/>
        <v>-0.657236014604061</v>
      </c>
      <c r="G95" s="215">
        <f t="shared" si="13"/>
        <v>5.9096913193130332E-2</v>
      </c>
      <c r="H95" s="123"/>
    </row>
    <row r="96" spans="1:8" ht="15.75" x14ac:dyDescent="0.25">
      <c r="A96" s="130"/>
      <c r="B96" s="131">
        <f>DATE(2022,10,1)</f>
        <v>44835</v>
      </c>
      <c r="C96" s="204">
        <v>6082166</v>
      </c>
      <c r="D96" s="204">
        <v>1134882.5</v>
      </c>
      <c r="E96" s="204">
        <v>1168170.5</v>
      </c>
      <c r="F96" s="132">
        <f t="shared" si="12"/>
        <v>-2.8495840290437054E-2</v>
      </c>
      <c r="G96" s="215">
        <f t="shared" si="13"/>
        <v>0.18659183258069575</v>
      </c>
      <c r="H96" s="123"/>
    </row>
    <row r="97" spans="1:8" ht="15.75" x14ac:dyDescent="0.25">
      <c r="A97" s="130"/>
      <c r="B97" s="131">
        <f>DATE(2022,11,1)</f>
        <v>44866</v>
      </c>
      <c r="C97" s="204">
        <v>5974545</v>
      </c>
      <c r="D97" s="204">
        <v>1197761</v>
      </c>
      <c r="E97" s="204">
        <v>1079072</v>
      </c>
      <c r="F97" s="132">
        <f t="shared" si="12"/>
        <v>0.10999173363779248</v>
      </c>
      <c r="G97" s="215">
        <f t="shared" si="13"/>
        <v>0.20047735852688364</v>
      </c>
      <c r="H97" s="123"/>
    </row>
    <row r="98" spans="1:8" ht="15.75" x14ac:dyDescent="0.25">
      <c r="A98" s="130"/>
      <c r="B98" s="131">
        <f>DATE(2022,12,1)</f>
        <v>44896</v>
      </c>
      <c r="C98" s="204">
        <v>5430834</v>
      </c>
      <c r="D98" s="204">
        <v>867923</v>
      </c>
      <c r="E98" s="204">
        <v>924398</v>
      </c>
      <c r="F98" s="132">
        <f t="shared" si="12"/>
        <v>-6.1093814569049262E-2</v>
      </c>
      <c r="G98" s="215">
        <f t="shared" si="13"/>
        <v>0.1598139438620293</v>
      </c>
      <c r="H98" s="123"/>
    </row>
    <row r="99" spans="1:8" ht="15.75" x14ac:dyDescent="0.25">
      <c r="A99" s="130"/>
      <c r="B99" s="131">
        <f>DATE(2023,1,1)</f>
        <v>44927</v>
      </c>
      <c r="C99" s="204">
        <v>6222780</v>
      </c>
      <c r="D99" s="204">
        <v>1084536.5</v>
      </c>
      <c r="E99" s="204">
        <v>1117761</v>
      </c>
      <c r="F99" s="132">
        <f t="shared" si="12"/>
        <v>-2.9724153911256521E-2</v>
      </c>
      <c r="G99" s="215">
        <f t="shared" si="13"/>
        <v>0.1742848855334754</v>
      </c>
      <c r="H99" s="123"/>
    </row>
    <row r="100" spans="1:8" ht="15.75" x14ac:dyDescent="0.25">
      <c r="A100" s="130"/>
      <c r="B100" s="131">
        <f>DATE(2023,2,1)</f>
        <v>44958</v>
      </c>
      <c r="C100" s="204">
        <v>5787383</v>
      </c>
      <c r="D100" s="204">
        <v>924380.5</v>
      </c>
      <c r="E100" s="204">
        <v>933678</v>
      </c>
      <c r="F100" s="132">
        <f t="shared" si="12"/>
        <v>-9.9579298216301553E-3</v>
      </c>
      <c r="G100" s="215">
        <f t="shared" si="13"/>
        <v>0.15972340175170713</v>
      </c>
      <c r="H100" s="123"/>
    </row>
    <row r="101" spans="1:8" ht="15.75" x14ac:dyDescent="0.25">
      <c r="A101" s="130"/>
      <c r="B101" s="131">
        <f>DATE(2023,3,1)</f>
        <v>44986</v>
      </c>
      <c r="C101" s="204">
        <v>6706007</v>
      </c>
      <c r="D101" s="204">
        <v>1007842.5</v>
      </c>
      <c r="E101" s="204">
        <v>957431</v>
      </c>
      <c r="F101" s="132">
        <f t="shared" si="12"/>
        <v>5.2652880468670851E-2</v>
      </c>
      <c r="G101" s="215">
        <f t="shared" si="13"/>
        <v>0.15028950909237046</v>
      </c>
      <c r="H101" s="123"/>
    </row>
    <row r="102" spans="1:8" ht="15.75" x14ac:dyDescent="0.25">
      <c r="A102" s="130"/>
      <c r="B102" s="131">
        <f>DATE(2023,4,1)</f>
        <v>45017</v>
      </c>
      <c r="C102" s="204">
        <v>7597204</v>
      </c>
      <c r="D102" s="204">
        <v>1326409</v>
      </c>
      <c r="E102" s="204">
        <v>1196941.5</v>
      </c>
      <c r="F102" s="132">
        <f t="shared" si="12"/>
        <v>0.10816526956413493</v>
      </c>
      <c r="G102" s="215">
        <f t="shared" si="13"/>
        <v>0.1745917313790705</v>
      </c>
      <c r="H102" s="123"/>
    </row>
    <row r="103" spans="1:8" ht="15.75" x14ac:dyDescent="0.25">
      <c r="A103" s="130"/>
      <c r="B103" s="131">
        <f>DATE(2023,5,1)</f>
        <v>45047</v>
      </c>
      <c r="C103" s="204">
        <v>8108546</v>
      </c>
      <c r="D103" s="204">
        <v>1152481.5</v>
      </c>
      <c r="E103" s="204">
        <v>846905</v>
      </c>
      <c r="F103" s="132">
        <f t="shared" si="12"/>
        <v>0.36081555782525787</v>
      </c>
      <c r="G103" s="215">
        <f t="shared" si="13"/>
        <v>0.14213170894017249</v>
      </c>
      <c r="H103" s="123"/>
    </row>
    <row r="104" spans="1:8" ht="15.75" customHeight="1" thickBot="1" x14ac:dyDescent="0.3">
      <c r="A104" s="130"/>
      <c r="B104" s="131"/>
      <c r="C104" s="204"/>
      <c r="D104" s="204"/>
      <c r="E104" s="204"/>
      <c r="F104" s="132"/>
      <c r="G104" s="215"/>
      <c r="H104" s="123"/>
    </row>
    <row r="105" spans="1:8" ht="17.25" thickTop="1" thickBot="1" x14ac:dyDescent="0.3">
      <c r="A105" s="141" t="s">
        <v>14</v>
      </c>
      <c r="B105" s="142"/>
      <c r="C105" s="207">
        <f>SUM(C93:C104)</f>
        <v>70736922</v>
      </c>
      <c r="D105" s="261">
        <f>SUM(D93:D104)</f>
        <v>11067090.5</v>
      </c>
      <c r="E105" s="207">
        <f>SUM(E93:E104)</f>
        <v>11093693</v>
      </c>
      <c r="F105" s="269">
        <f>(+D105-E105)/E105</f>
        <v>-2.3979841518960367E-3</v>
      </c>
      <c r="G105" s="267">
        <f>D105/C105</f>
        <v>0.15645422768041845</v>
      </c>
      <c r="H105" s="123"/>
    </row>
    <row r="106" spans="1:8" ht="15.75" customHeight="1" thickTop="1" x14ac:dyDescent="0.25">
      <c r="A106" s="130"/>
      <c r="B106" s="139"/>
      <c r="C106" s="205"/>
      <c r="D106" s="205"/>
      <c r="E106" s="205"/>
      <c r="F106" s="140"/>
      <c r="G106" s="216"/>
      <c r="H106" s="123"/>
    </row>
    <row r="107" spans="1:8" ht="15.75" x14ac:dyDescent="0.25">
      <c r="A107" s="130" t="s">
        <v>69</v>
      </c>
      <c r="B107" s="131">
        <f>DATE(2022,7,1)</f>
        <v>44743</v>
      </c>
      <c r="C107" s="204">
        <v>5606930</v>
      </c>
      <c r="D107" s="204">
        <v>1405783</v>
      </c>
      <c r="E107" s="204">
        <v>1287648</v>
      </c>
      <c r="F107" s="132">
        <f t="shared" ref="F107:F117" si="14">(+D107-E107)/E107</f>
        <v>9.1744793608191058E-2</v>
      </c>
      <c r="G107" s="215">
        <f t="shared" ref="G107:G117" si="15">D107/C107</f>
        <v>0.25072240958956149</v>
      </c>
      <c r="H107" s="123"/>
    </row>
    <row r="108" spans="1:8" ht="15.75" x14ac:dyDescent="0.25">
      <c r="A108" s="130"/>
      <c r="B108" s="131">
        <f>DATE(2022,8,1)</f>
        <v>44774</v>
      </c>
      <c r="C108" s="204">
        <v>5378141</v>
      </c>
      <c r="D108" s="204">
        <v>1387184.42</v>
      </c>
      <c r="E108" s="204">
        <v>1323019.5</v>
      </c>
      <c r="F108" s="132">
        <f t="shared" si="14"/>
        <v>4.8498846766808747E-2</v>
      </c>
      <c r="G108" s="215">
        <f t="shared" si="15"/>
        <v>0.25793009517600968</v>
      </c>
      <c r="H108" s="123"/>
    </row>
    <row r="109" spans="1:8" ht="15.75" x14ac:dyDescent="0.25">
      <c r="A109" s="130"/>
      <c r="B109" s="131">
        <f>DATE(2022,9,1)</f>
        <v>44805</v>
      </c>
      <c r="C109" s="204">
        <v>5602602</v>
      </c>
      <c r="D109" s="204">
        <v>1318470</v>
      </c>
      <c r="E109" s="204">
        <v>858985.36</v>
      </c>
      <c r="F109" s="132">
        <f t="shared" si="14"/>
        <v>0.53491556596494272</v>
      </c>
      <c r="G109" s="215">
        <f t="shared" si="15"/>
        <v>0.23533172622292284</v>
      </c>
      <c r="H109" s="123"/>
    </row>
    <row r="110" spans="1:8" ht="15.75" x14ac:dyDescent="0.25">
      <c r="A110" s="130"/>
      <c r="B110" s="131">
        <f>DATE(2022,10,1)</f>
        <v>44835</v>
      </c>
      <c r="C110" s="204">
        <v>5424917</v>
      </c>
      <c r="D110" s="204">
        <v>1379988.01</v>
      </c>
      <c r="E110" s="204">
        <v>980676.58</v>
      </c>
      <c r="F110" s="132">
        <f t="shared" si="14"/>
        <v>0.40717953109474692</v>
      </c>
      <c r="G110" s="215">
        <f t="shared" si="15"/>
        <v>0.25437956193615496</v>
      </c>
      <c r="H110" s="123"/>
    </row>
    <row r="111" spans="1:8" ht="15.75" x14ac:dyDescent="0.25">
      <c r="A111" s="130"/>
      <c r="B111" s="131">
        <f>DATE(2022,11,1)</f>
        <v>44866</v>
      </c>
      <c r="C111" s="204">
        <v>4989462</v>
      </c>
      <c r="D111" s="204">
        <v>1234881.42</v>
      </c>
      <c r="E111" s="204">
        <v>1337612.57</v>
      </c>
      <c r="F111" s="132">
        <f t="shared" si="14"/>
        <v>-7.6801872458480358E-2</v>
      </c>
      <c r="G111" s="215">
        <f t="shared" si="15"/>
        <v>0.24749791059637291</v>
      </c>
      <c r="H111" s="123"/>
    </row>
    <row r="112" spans="1:8" ht="15.75" x14ac:dyDescent="0.25">
      <c r="A112" s="130"/>
      <c r="B112" s="131">
        <f>DATE(2022,12,1)</f>
        <v>44896</v>
      </c>
      <c r="C112" s="204">
        <v>5823111</v>
      </c>
      <c r="D112" s="204">
        <v>1290058.78</v>
      </c>
      <c r="E112" s="204">
        <v>927044</v>
      </c>
      <c r="F112" s="132">
        <f t="shared" si="14"/>
        <v>0.39158311795340894</v>
      </c>
      <c r="G112" s="215">
        <f t="shared" si="15"/>
        <v>0.22154116244735847</v>
      </c>
      <c r="H112" s="123"/>
    </row>
    <row r="113" spans="1:8" ht="15.75" x14ac:dyDescent="0.25">
      <c r="A113" s="130"/>
      <c r="B113" s="131">
        <f>DATE(2023,1,1)</f>
        <v>44927</v>
      </c>
      <c r="C113" s="204">
        <v>5534309</v>
      </c>
      <c r="D113" s="204">
        <v>1422588.36</v>
      </c>
      <c r="E113" s="204">
        <v>922135.79</v>
      </c>
      <c r="F113" s="132">
        <f t="shared" si="14"/>
        <v>0.54271027697558516</v>
      </c>
      <c r="G113" s="215">
        <f t="shared" si="15"/>
        <v>0.25704895769282127</v>
      </c>
      <c r="H113" s="123"/>
    </row>
    <row r="114" spans="1:8" ht="15.75" x14ac:dyDescent="0.25">
      <c r="A114" s="130"/>
      <c r="B114" s="131">
        <f>DATE(2023,2,1)</f>
        <v>44958</v>
      </c>
      <c r="C114" s="204">
        <v>5528109</v>
      </c>
      <c r="D114" s="204">
        <v>1163658.3</v>
      </c>
      <c r="E114" s="204">
        <v>1013590.48</v>
      </c>
      <c r="F114" s="132">
        <f t="shared" si="14"/>
        <v>0.14805567234609393</v>
      </c>
      <c r="G114" s="215">
        <f t="shared" si="15"/>
        <v>0.21049843626455267</v>
      </c>
      <c r="H114" s="123"/>
    </row>
    <row r="115" spans="1:8" ht="15.75" x14ac:dyDescent="0.25">
      <c r="A115" s="130"/>
      <c r="B115" s="131">
        <f>DATE(2023,3,1)</f>
        <v>44986</v>
      </c>
      <c r="C115" s="204">
        <v>6985921</v>
      </c>
      <c r="D115" s="204">
        <v>1328707.6599999999</v>
      </c>
      <c r="E115" s="204">
        <v>1404872.12</v>
      </c>
      <c r="F115" s="132">
        <f t="shared" si="14"/>
        <v>-5.421451455667025E-2</v>
      </c>
      <c r="G115" s="215">
        <f t="shared" si="15"/>
        <v>0.19019792236413779</v>
      </c>
      <c r="H115" s="123"/>
    </row>
    <row r="116" spans="1:8" ht="15.75" x14ac:dyDescent="0.25">
      <c r="A116" s="130"/>
      <c r="B116" s="131">
        <f>DATE(2023,4,1)</f>
        <v>45017</v>
      </c>
      <c r="C116" s="204">
        <v>6172202</v>
      </c>
      <c r="D116" s="204">
        <v>1720849.86</v>
      </c>
      <c r="E116" s="204">
        <v>1215863</v>
      </c>
      <c r="F116" s="132">
        <f t="shared" si="14"/>
        <v>0.41533203987620326</v>
      </c>
      <c r="G116" s="215">
        <f t="shared" si="15"/>
        <v>0.27880647133713382</v>
      </c>
      <c r="H116" s="123"/>
    </row>
    <row r="117" spans="1:8" ht="15.75" x14ac:dyDescent="0.25">
      <c r="A117" s="130"/>
      <c r="B117" s="131">
        <f>DATE(2023,5,1)</f>
        <v>45047</v>
      </c>
      <c r="C117" s="204">
        <v>5822721</v>
      </c>
      <c r="D117" s="204">
        <v>1600180.71</v>
      </c>
      <c r="E117" s="204">
        <v>1456938.06</v>
      </c>
      <c r="F117" s="132">
        <f t="shared" si="14"/>
        <v>9.8317597660946485E-2</v>
      </c>
      <c r="G117" s="215">
        <f t="shared" si="15"/>
        <v>0.27481665530599869</v>
      </c>
      <c r="H117" s="123"/>
    </row>
    <row r="118" spans="1:8" ht="15.75" customHeight="1" thickBot="1" x14ac:dyDescent="0.3">
      <c r="A118" s="130"/>
      <c r="B118" s="131"/>
      <c r="C118" s="204"/>
      <c r="D118" s="204"/>
      <c r="E118" s="204"/>
      <c r="F118" s="132"/>
      <c r="G118" s="215"/>
      <c r="H118" s="123"/>
    </row>
    <row r="119" spans="1:8" ht="17.25" thickTop="1" thickBot="1" x14ac:dyDescent="0.3">
      <c r="A119" s="141" t="s">
        <v>14</v>
      </c>
      <c r="B119" s="142"/>
      <c r="C119" s="206">
        <f>SUM(C107:C118)</f>
        <v>62868425</v>
      </c>
      <c r="D119" s="206">
        <f>SUM(D107:D118)</f>
        <v>15252350.52</v>
      </c>
      <c r="E119" s="206">
        <f>SUM(E107:E118)</f>
        <v>12728385.459999999</v>
      </c>
      <c r="F119" s="143">
        <f>(+D119-E119)/E119</f>
        <v>0.19829420376463056</v>
      </c>
      <c r="G119" s="217">
        <f>D119/C119</f>
        <v>0.24260748571321772</v>
      </c>
      <c r="H119" s="123"/>
    </row>
    <row r="120" spans="1:8" ht="15.75" customHeight="1" thickTop="1" x14ac:dyDescent="0.25">
      <c r="A120" s="138"/>
      <c r="B120" s="139"/>
      <c r="C120" s="205"/>
      <c r="D120" s="205"/>
      <c r="E120" s="205"/>
      <c r="F120" s="140"/>
      <c r="G120" s="216"/>
      <c r="H120" s="123"/>
    </row>
    <row r="121" spans="1:8" ht="15.75" x14ac:dyDescent="0.25">
      <c r="A121" s="130" t="s">
        <v>16</v>
      </c>
      <c r="B121" s="131">
        <f>DATE(2022,7,1)</f>
        <v>44743</v>
      </c>
      <c r="C121" s="204">
        <v>10366880</v>
      </c>
      <c r="D121" s="204">
        <v>2289729.5</v>
      </c>
      <c r="E121" s="204">
        <v>1960105</v>
      </c>
      <c r="F121" s="132">
        <f t="shared" ref="F121:F131" si="16">(+D121-E121)/E121</f>
        <v>0.16816675637274534</v>
      </c>
      <c r="G121" s="215">
        <f t="shared" ref="G121:G131" si="17">D121/C121</f>
        <v>0.22086968306761534</v>
      </c>
      <c r="H121" s="123"/>
    </row>
    <row r="122" spans="1:8" ht="15.75" x14ac:dyDescent="0.25">
      <c r="A122" s="130"/>
      <c r="B122" s="131">
        <f>DATE(2022,8,1)</f>
        <v>44774</v>
      </c>
      <c r="C122" s="204">
        <v>9734457</v>
      </c>
      <c r="D122" s="204">
        <v>2099615</v>
      </c>
      <c r="E122" s="204">
        <v>2275188.5</v>
      </c>
      <c r="F122" s="132">
        <f t="shared" si="16"/>
        <v>-7.7168770851294297E-2</v>
      </c>
      <c r="G122" s="215">
        <f t="shared" si="17"/>
        <v>0.21568896960559794</v>
      </c>
      <c r="H122" s="123"/>
    </row>
    <row r="123" spans="1:8" ht="15.75" x14ac:dyDescent="0.25">
      <c r="A123" s="130"/>
      <c r="B123" s="131">
        <f>DATE(2022,9,1)</f>
        <v>44805</v>
      </c>
      <c r="C123" s="204">
        <v>9237427</v>
      </c>
      <c r="D123" s="204">
        <v>1892853.5</v>
      </c>
      <c r="E123" s="204">
        <v>937001</v>
      </c>
      <c r="F123" s="132">
        <f t="shared" si="16"/>
        <v>1.0201189753266005</v>
      </c>
      <c r="G123" s="215">
        <f t="shared" si="17"/>
        <v>0.20491133515858909</v>
      </c>
      <c r="H123" s="123"/>
    </row>
    <row r="124" spans="1:8" ht="15.75" x14ac:dyDescent="0.25">
      <c r="A124" s="130"/>
      <c r="B124" s="131">
        <f>DATE(2022,10,1)</f>
        <v>44835</v>
      </c>
      <c r="C124" s="204">
        <v>10140690</v>
      </c>
      <c r="D124" s="204">
        <v>1720920</v>
      </c>
      <c r="E124" s="204">
        <v>1775955</v>
      </c>
      <c r="F124" s="132">
        <f t="shared" si="16"/>
        <v>-3.0988960868940936E-2</v>
      </c>
      <c r="G124" s="215">
        <f t="shared" si="17"/>
        <v>0.16970442839688424</v>
      </c>
      <c r="H124" s="123"/>
    </row>
    <row r="125" spans="1:8" ht="15.75" x14ac:dyDescent="0.25">
      <c r="A125" s="130"/>
      <c r="B125" s="131">
        <f>DATE(2022,11,1)</f>
        <v>44866</v>
      </c>
      <c r="C125" s="204">
        <v>9461662</v>
      </c>
      <c r="D125" s="204">
        <v>1878662</v>
      </c>
      <c r="E125" s="204">
        <v>2248532.5</v>
      </c>
      <c r="F125" s="132">
        <f t="shared" si="16"/>
        <v>-0.16449417564567112</v>
      </c>
      <c r="G125" s="215">
        <f t="shared" si="17"/>
        <v>0.19855517984049736</v>
      </c>
      <c r="H125" s="123"/>
    </row>
    <row r="126" spans="1:8" ht="15.75" x14ac:dyDescent="0.25">
      <c r="A126" s="130"/>
      <c r="B126" s="131">
        <f>DATE(2022,12,1)</f>
        <v>44896</v>
      </c>
      <c r="C126" s="204">
        <v>9800152.3000000007</v>
      </c>
      <c r="D126" s="204">
        <v>2169033.7999999998</v>
      </c>
      <c r="E126" s="204">
        <v>1877718</v>
      </c>
      <c r="F126" s="132">
        <f t="shared" si="16"/>
        <v>0.15514353060470198</v>
      </c>
      <c r="G126" s="215">
        <f t="shared" si="17"/>
        <v>0.22132653999673044</v>
      </c>
      <c r="H126" s="123"/>
    </row>
    <row r="127" spans="1:8" ht="15.75" x14ac:dyDescent="0.25">
      <c r="A127" s="130"/>
      <c r="B127" s="131">
        <f>DATE(2023,1,1)</f>
        <v>44927</v>
      </c>
      <c r="C127" s="204">
        <v>9824285.0399999991</v>
      </c>
      <c r="D127" s="204">
        <v>2093677.04</v>
      </c>
      <c r="E127" s="204">
        <v>1684861.5</v>
      </c>
      <c r="F127" s="132">
        <f t="shared" si="16"/>
        <v>0.24264044255269648</v>
      </c>
      <c r="G127" s="215">
        <f t="shared" si="17"/>
        <v>0.21311240782158741</v>
      </c>
      <c r="H127" s="123"/>
    </row>
    <row r="128" spans="1:8" ht="15.75" x14ac:dyDescent="0.25">
      <c r="A128" s="130"/>
      <c r="B128" s="131">
        <f>DATE(2023,2,1)</f>
        <v>44958</v>
      </c>
      <c r="C128" s="204">
        <v>8427479</v>
      </c>
      <c r="D128" s="204">
        <v>1592170</v>
      </c>
      <c r="E128" s="204">
        <v>1881049</v>
      </c>
      <c r="F128" s="132">
        <f t="shared" si="16"/>
        <v>-0.15357335189035479</v>
      </c>
      <c r="G128" s="215">
        <f t="shared" si="17"/>
        <v>0.18892601215618574</v>
      </c>
      <c r="H128" s="123"/>
    </row>
    <row r="129" spans="1:8" ht="15.75" x14ac:dyDescent="0.25">
      <c r="A129" s="130"/>
      <c r="B129" s="131">
        <f>DATE(2023,3,1)</f>
        <v>44986</v>
      </c>
      <c r="C129" s="204">
        <v>10673563</v>
      </c>
      <c r="D129" s="204">
        <v>1970288.5</v>
      </c>
      <c r="E129" s="204">
        <v>2361969</v>
      </c>
      <c r="F129" s="132">
        <f t="shared" si="16"/>
        <v>-0.16582795963875901</v>
      </c>
      <c r="G129" s="215">
        <f t="shared" si="17"/>
        <v>0.18459520030939996</v>
      </c>
      <c r="H129" s="123"/>
    </row>
    <row r="130" spans="1:8" ht="15.75" x14ac:dyDescent="0.25">
      <c r="A130" s="130"/>
      <c r="B130" s="131">
        <f>DATE(2023,4,1)</f>
        <v>45017</v>
      </c>
      <c r="C130" s="204">
        <v>9849015.5</v>
      </c>
      <c r="D130" s="204">
        <v>2451828.5</v>
      </c>
      <c r="E130" s="204">
        <v>1614348</v>
      </c>
      <c r="F130" s="132">
        <f t="shared" si="16"/>
        <v>0.51877321370609064</v>
      </c>
      <c r="G130" s="215">
        <f t="shared" si="17"/>
        <v>0.24894148049619783</v>
      </c>
      <c r="H130" s="123"/>
    </row>
    <row r="131" spans="1:8" ht="15.75" x14ac:dyDescent="0.25">
      <c r="A131" s="130"/>
      <c r="B131" s="131">
        <f>DATE(2023,5,1)</f>
        <v>45047</v>
      </c>
      <c r="C131" s="204">
        <v>10190636</v>
      </c>
      <c r="D131" s="204">
        <v>2235968.5</v>
      </c>
      <c r="E131" s="204">
        <v>1740049.5</v>
      </c>
      <c r="F131" s="132">
        <f t="shared" si="16"/>
        <v>0.28500281170162112</v>
      </c>
      <c r="G131" s="215">
        <f t="shared" si="17"/>
        <v>0.21941402872205423</v>
      </c>
      <c r="H131" s="123"/>
    </row>
    <row r="132" spans="1:8" ht="15.75" customHeight="1" thickBot="1" x14ac:dyDescent="0.3">
      <c r="A132" s="130"/>
      <c r="B132" s="131"/>
      <c r="C132" s="204"/>
      <c r="D132" s="204"/>
      <c r="E132" s="204"/>
      <c r="F132" s="132"/>
      <c r="G132" s="215"/>
      <c r="H132" s="123"/>
    </row>
    <row r="133" spans="1:8" ht="17.25" thickTop="1" thickBot="1" x14ac:dyDescent="0.3">
      <c r="A133" s="141" t="s">
        <v>14</v>
      </c>
      <c r="B133" s="142"/>
      <c r="C133" s="206">
        <f>SUM(C121:C132)</f>
        <v>107706246.84</v>
      </c>
      <c r="D133" s="206">
        <f>SUM(D121:D132)</f>
        <v>22394746.34</v>
      </c>
      <c r="E133" s="206">
        <f>SUM(E121:E132)</f>
        <v>20356777</v>
      </c>
      <c r="F133" s="143">
        <f>(+D133-E133)/E133</f>
        <v>0.10011257381264234</v>
      </c>
      <c r="G133" s="217">
        <f>D133/C133</f>
        <v>0.20792430334396378</v>
      </c>
      <c r="H133" s="123"/>
    </row>
    <row r="134" spans="1:8" ht="15.75" customHeight="1" thickTop="1" x14ac:dyDescent="0.25">
      <c r="A134" s="138"/>
      <c r="B134" s="139"/>
      <c r="C134" s="205"/>
      <c r="D134" s="205"/>
      <c r="E134" s="205"/>
      <c r="F134" s="140"/>
      <c r="G134" s="216"/>
      <c r="H134" s="123"/>
    </row>
    <row r="135" spans="1:8" ht="15.75" x14ac:dyDescent="0.25">
      <c r="A135" s="130" t="s">
        <v>53</v>
      </c>
      <c r="B135" s="131">
        <f>DATE(2022,7,1)</f>
        <v>44743</v>
      </c>
      <c r="C135" s="204">
        <v>14277956</v>
      </c>
      <c r="D135" s="204">
        <v>2740415.54</v>
      </c>
      <c r="E135" s="204">
        <v>2503594.66</v>
      </c>
      <c r="F135" s="132">
        <f t="shared" ref="F135:F145" si="18">(+D135-E135)/E135</f>
        <v>9.4592341078088046E-2</v>
      </c>
      <c r="G135" s="215">
        <f t="shared" ref="G135:G145" si="19">D135/C135</f>
        <v>0.19193332294902715</v>
      </c>
      <c r="H135" s="123"/>
    </row>
    <row r="136" spans="1:8" ht="15.75" x14ac:dyDescent="0.25">
      <c r="A136" s="130"/>
      <c r="B136" s="131">
        <f>DATE(2022,8,1)</f>
        <v>44774</v>
      </c>
      <c r="C136" s="204">
        <v>14131755</v>
      </c>
      <c r="D136" s="204">
        <v>2942976.84</v>
      </c>
      <c r="E136" s="204">
        <v>2041955.48</v>
      </c>
      <c r="F136" s="132">
        <f t="shared" si="18"/>
        <v>0.44125416485573909</v>
      </c>
      <c r="G136" s="215">
        <f t="shared" si="19"/>
        <v>0.20825274992384171</v>
      </c>
      <c r="H136" s="123"/>
    </row>
    <row r="137" spans="1:8" ht="15.75" x14ac:dyDescent="0.25">
      <c r="A137" s="130"/>
      <c r="B137" s="131">
        <f>DATE(2022,9,1)</f>
        <v>44805</v>
      </c>
      <c r="C137" s="204">
        <v>13855244</v>
      </c>
      <c r="D137" s="204">
        <v>2470080.11</v>
      </c>
      <c r="E137" s="204">
        <v>2713567.27</v>
      </c>
      <c r="F137" s="132">
        <f t="shared" si="18"/>
        <v>-8.9729546303084703E-2</v>
      </c>
      <c r="G137" s="215">
        <f t="shared" si="19"/>
        <v>0.17827763336394509</v>
      </c>
      <c r="H137" s="123"/>
    </row>
    <row r="138" spans="1:8" ht="15.75" x14ac:dyDescent="0.25">
      <c r="A138" s="130"/>
      <c r="B138" s="131">
        <f>DATE(2022,10,1)</f>
        <v>44835</v>
      </c>
      <c r="C138" s="204">
        <v>14256461</v>
      </c>
      <c r="D138" s="204">
        <v>3215532.42</v>
      </c>
      <c r="E138" s="204">
        <v>2659301.4700000002</v>
      </c>
      <c r="F138" s="132">
        <f t="shared" si="18"/>
        <v>0.20916430734722216</v>
      </c>
      <c r="G138" s="215">
        <f t="shared" si="19"/>
        <v>0.22554913312637687</v>
      </c>
      <c r="H138" s="123"/>
    </row>
    <row r="139" spans="1:8" ht="15.75" x14ac:dyDescent="0.25">
      <c r="A139" s="130"/>
      <c r="B139" s="131">
        <f>DATE(2022,11,1)</f>
        <v>44866</v>
      </c>
      <c r="C139" s="204">
        <v>13386623</v>
      </c>
      <c r="D139" s="204">
        <v>3265973.52</v>
      </c>
      <c r="E139" s="204">
        <v>2735220.29</v>
      </c>
      <c r="F139" s="132">
        <f t="shared" si="18"/>
        <v>0.19404405266385324</v>
      </c>
      <c r="G139" s="215">
        <f t="shared" si="19"/>
        <v>0.24397292132601328</v>
      </c>
      <c r="H139" s="123"/>
    </row>
    <row r="140" spans="1:8" ht="15.75" x14ac:dyDescent="0.25">
      <c r="A140" s="130"/>
      <c r="B140" s="131">
        <f>DATE(2022,12,1)</f>
        <v>44896</v>
      </c>
      <c r="C140" s="204">
        <v>15242874</v>
      </c>
      <c r="D140" s="204">
        <v>2403855.66</v>
      </c>
      <c r="E140" s="204">
        <v>3180649.5</v>
      </c>
      <c r="F140" s="132">
        <f t="shared" si="18"/>
        <v>-0.24422491066683075</v>
      </c>
      <c r="G140" s="215">
        <f t="shared" si="19"/>
        <v>0.15770357086203035</v>
      </c>
      <c r="H140" s="123"/>
    </row>
    <row r="141" spans="1:8" ht="15.75" x14ac:dyDescent="0.25">
      <c r="A141" s="130"/>
      <c r="B141" s="131">
        <f>DATE(2023,1,1)</f>
        <v>44927</v>
      </c>
      <c r="C141" s="204">
        <v>13415382</v>
      </c>
      <c r="D141" s="204">
        <v>3153729.45</v>
      </c>
      <c r="E141" s="204">
        <v>2491683.5699999998</v>
      </c>
      <c r="F141" s="132">
        <f t="shared" si="18"/>
        <v>0.26570222959731615</v>
      </c>
      <c r="G141" s="215">
        <f t="shared" si="19"/>
        <v>0.23508308969509778</v>
      </c>
      <c r="H141" s="123"/>
    </row>
    <row r="142" spans="1:8" ht="15.75" x14ac:dyDescent="0.25">
      <c r="A142" s="130"/>
      <c r="B142" s="131">
        <f>DATE(2023,2,1)</f>
        <v>44958</v>
      </c>
      <c r="C142" s="204">
        <v>12458702</v>
      </c>
      <c r="D142" s="204">
        <v>2846898.89</v>
      </c>
      <c r="E142" s="204">
        <v>2634766.65</v>
      </c>
      <c r="F142" s="132">
        <f t="shared" si="18"/>
        <v>8.0512723963619415E-2</v>
      </c>
      <c r="G142" s="215">
        <f t="shared" si="19"/>
        <v>0.22850686130866604</v>
      </c>
      <c r="H142" s="123"/>
    </row>
    <row r="143" spans="1:8" ht="15.75" x14ac:dyDescent="0.25">
      <c r="A143" s="130"/>
      <c r="B143" s="131">
        <f>DATE(2023,3,1)</f>
        <v>44986</v>
      </c>
      <c r="C143" s="204">
        <v>14663269</v>
      </c>
      <c r="D143" s="204">
        <v>3199533</v>
      </c>
      <c r="E143" s="204">
        <v>3434413.46</v>
      </c>
      <c r="F143" s="132">
        <f t="shared" si="18"/>
        <v>-6.8390268887427427E-2</v>
      </c>
      <c r="G143" s="215">
        <f t="shared" si="19"/>
        <v>0.21820052540807919</v>
      </c>
      <c r="H143" s="123"/>
    </row>
    <row r="144" spans="1:8" ht="15.75" x14ac:dyDescent="0.25">
      <c r="A144" s="130"/>
      <c r="B144" s="131">
        <f>DATE(2023,4,1)</f>
        <v>45017</v>
      </c>
      <c r="C144" s="204">
        <v>15071332</v>
      </c>
      <c r="D144" s="204">
        <v>2871825.14</v>
      </c>
      <c r="E144" s="204">
        <v>3588675.89</v>
      </c>
      <c r="F144" s="132">
        <f t="shared" si="18"/>
        <v>-0.19975355032688671</v>
      </c>
      <c r="G144" s="215">
        <f t="shared" si="19"/>
        <v>0.19054886057848106</v>
      </c>
      <c r="H144" s="123"/>
    </row>
    <row r="145" spans="1:8" ht="15.75" x14ac:dyDescent="0.25">
      <c r="A145" s="130"/>
      <c r="B145" s="131">
        <f>DATE(2023,5,1)</f>
        <v>45047</v>
      </c>
      <c r="C145" s="204">
        <v>14875857</v>
      </c>
      <c r="D145" s="204">
        <v>2573031.38</v>
      </c>
      <c r="E145" s="204">
        <v>3389525.64</v>
      </c>
      <c r="F145" s="132">
        <f t="shared" si="18"/>
        <v>-0.24088747120378773</v>
      </c>
      <c r="G145" s="215">
        <f t="shared" si="19"/>
        <v>0.17296693427477824</v>
      </c>
      <c r="H145" s="123"/>
    </row>
    <row r="146" spans="1:8" ht="15.75" thickBot="1" x14ac:dyDescent="0.25">
      <c r="A146" s="133"/>
      <c r="B146" s="131"/>
      <c r="C146" s="204"/>
      <c r="D146" s="204"/>
      <c r="E146" s="204"/>
      <c r="F146" s="132"/>
      <c r="G146" s="215"/>
      <c r="H146" s="123"/>
    </row>
    <row r="147" spans="1:8" ht="17.25" thickTop="1" thickBot="1" x14ac:dyDescent="0.3">
      <c r="A147" s="141" t="s">
        <v>14</v>
      </c>
      <c r="B147" s="142"/>
      <c r="C147" s="207">
        <f>SUM(C135:C146)</f>
        <v>155635455</v>
      </c>
      <c r="D147" s="207">
        <f>SUM(D135:D146)</f>
        <v>31683851.949999999</v>
      </c>
      <c r="E147" s="207">
        <f>SUM(E135:E146)</f>
        <v>31373353.880000003</v>
      </c>
      <c r="F147" s="143">
        <f>(+D147-E147)/E147</f>
        <v>9.8968720777390003E-3</v>
      </c>
      <c r="G147" s="267">
        <f>D147/C147</f>
        <v>0.20357734007331427</v>
      </c>
      <c r="H147" s="123"/>
    </row>
    <row r="148" spans="1:8" ht="15.75" customHeight="1" thickTop="1" x14ac:dyDescent="0.25">
      <c r="A148" s="138"/>
      <c r="B148" s="139"/>
      <c r="C148" s="205"/>
      <c r="D148" s="205"/>
      <c r="E148" s="205"/>
      <c r="F148" s="140"/>
      <c r="G148" s="219"/>
      <c r="H148" s="123"/>
    </row>
    <row r="149" spans="1:8" ht="15.75" x14ac:dyDescent="0.25">
      <c r="A149" s="130" t="s">
        <v>54</v>
      </c>
      <c r="B149" s="131">
        <f>DATE(2022,7,1)</f>
        <v>44743</v>
      </c>
      <c r="C149" s="204">
        <v>138495</v>
      </c>
      <c r="D149" s="204">
        <v>33672.5</v>
      </c>
      <c r="E149" s="204">
        <v>95940.5</v>
      </c>
      <c r="F149" s="132">
        <f t="shared" ref="F149:F159" si="20">(+D149-E149)/E149</f>
        <v>-0.64902726168823388</v>
      </c>
      <c r="G149" s="215">
        <f t="shared" ref="G149:G159" si="21">D149/C149</f>
        <v>0.24313152099353769</v>
      </c>
      <c r="H149" s="123"/>
    </row>
    <row r="150" spans="1:8" ht="15.75" x14ac:dyDescent="0.25">
      <c r="A150" s="130"/>
      <c r="B150" s="131">
        <f>DATE(2022,8,1)</f>
        <v>44774</v>
      </c>
      <c r="C150" s="204">
        <v>107572</v>
      </c>
      <c r="D150" s="204">
        <v>43554</v>
      </c>
      <c r="E150" s="204">
        <v>109429</v>
      </c>
      <c r="F150" s="132">
        <f t="shared" si="20"/>
        <v>-0.60198850396147274</v>
      </c>
      <c r="G150" s="215">
        <f t="shared" si="21"/>
        <v>0.40488231138214403</v>
      </c>
      <c r="H150" s="123"/>
    </row>
    <row r="151" spans="1:8" ht="15.75" x14ac:dyDescent="0.25">
      <c r="A151" s="130"/>
      <c r="B151" s="131">
        <f>DATE(2022,9,1)</f>
        <v>44805</v>
      </c>
      <c r="C151" s="204">
        <v>96319</v>
      </c>
      <c r="D151" s="204">
        <v>21940.5</v>
      </c>
      <c r="E151" s="204">
        <v>101758.5</v>
      </c>
      <c r="F151" s="132">
        <f t="shared" si="20"/>
        <v>-0.78438656230192072</v>
      </c>
      <c r="G151" s="215">
        <f t="shared" si="21"/>
        <v>0.22778994798534039</v>
      </c>
      <c r="H151" s="123"/>
    </row>
    <row r="152" spans="1:8" ht="15.75" x14ac:dyDescent="0.25">
      <c r="A152" s="130"/>
      <c r="B152" s="131">
        <f>DATE(2022,10,1)</f>
        <v>44835</v>
      </c>
      <c r="C152" s="204">
        <v>100492</v>
      </c>
      <c r="D152" s="204">
        <v>23452.5</v>
      </c>
      <c r="E152" s="204">
        <v>79721.5</v>
      </c>
      <c r="F152" s="132">
        <f t="shared" si="20"/>
        <v>-0.7058196346029616</v>
      </c>
      <c r="G152" s="215">
        <f t="shared" si="21"/>
        <v>0.23337678621183774</v>
      </c>
      <c r="H152" s="123"/>
    </row>
    <row r="153" spans="1:8" ht="15.75" x14ac:dyDescent="0.25">
      <c r="A153" s="130"/>
      <c r="B153" s="131">
        <f>DATE(2022,11,1)</f>
        <v>44866</v>
      </c>
      <c r="C153" s="204">
        <v>84332</v>
      </c>
      <c r="D153" s="204">
        <v>27986</v>
      </c>
      <c r="E153" s="204">
        <v>65199</v>
      </c>
      <c r="F153" s="132">
        <f t="shared" si="20"/>
        <v>-0.5707602877344744</v>
      </c>
      <c r="G153" s="215">
        <f t="shared" si="21"/>
        <v>0.33185504909168523</v>
      </c>
      <c r="H153" s="123"/>
    </row>
    <row r="154" spans="1:8" ht="15.75" x14ac:dyDescent="0.25">
      <c r="A154" s="130"/>
      <c r="B154" s="131">
        <f>DATE(2022,12,1)</f>
        <v>44896</v>
      </c>
      <c r="C154" s="204">
        <v>96692</v>
      </c>
      <c r="D154" s="204">
        <v>31936</v>
      </c>
      <c r="E154" s="204">
        <v>91444</v>
      </c>
      <c r="F154" s="132">
        <f t="shared" si="20"/>
        <v>-0.65075893442981492</v>
      </c>
      <c r="G154" s="215">
        <f t="shared" si="21"/>
        <v>0.33028585612046496</v>
      </c>
      <c r="H154" s="123"/>
    </row>
    <row r="155" spans="1:8" ht="15.75" x14ac:dyDescent="0.25">
      <c r="A155" s="130"/>
      <c r="B155" s="131">
        <f>DATE(2023,1,1)</f>
        <v>44927</v>
      </c>
      <c r="C155" s="204">
        <v>84454</v>
      </c>
      <c r="D155" s="204">
        <v>19398.5</v>
      </c>
      <c r="E155" s="204">
        <v>130796.5</v>
      </c>
      <c r="F155" s="132">
        <f t="shared" si="20"/>
        <v>-0.85168945652215466</v>
      </c>
      <c r="G155" s="215">
        <f t="shared" si="21"/>
        <v>0.22969308736116703</v>
      </c>
      <c r="H155" s="123"/>
    </row>
    <row r="156" spans="1:8" ht="15.75" x14ac:dyDescent="0.25">
      <c r="A156" s="130"/>
      <c r="B156" s="131">
        <f>DATE(2023,2,1)</f>
        <v>44958</v>
      </c>
      <c r="C156" s="204">
        <v>148656</v>
      </c>
      <c r="D156" s="204">
        <v>38642.5</v>
      </c>
      <c r="E156" s="204">
        <v>64197.5</v>
      </c>
      <c r="F156" s="132">
        <f t="shared" si="20"/>
        <v>-0.39806846060983681</v>
      </c>
      <c r="G156" s="215">
        <f t="shared" si="21"/>
        <v>0.25994578086320097</v>
      </c>
      <c r="H156" s="123"/>
    </row>
    <row r="157" spans="1:8" ht="15.75" x14ac:dyDescent="0.25">
      <c r="A157" s="130"/>
      <c r="B157" s="131">
        <f>DATE(2023,3,1)</f>
        <v>44986</v>
      </c>
      <c r="C157" s="204">
        <v>138788</v>
      </c>
      <c r="D157" s="204">
        <v>57536.5</v>
      </c>
      <c r="E157" s="204">
        <v>83632.5</v>
      </c>
      <c r="F157" s="132">
        <f t="shared" si="20"/>
        <v>-0.31203180581711654</v>
      </c>
      <c r="G157" s="215">
        <f t="shared" si="21"/>
        <v>0.41456393924546792</v>
      </c>
      <c r="H157" s="123"/>
    </row>
    <row r="158" spans="1:8" ht="15.75" x14ac:dyDescent="0.25">
      <c r="A158" s="130"/>
      <c r="B158" s="131">
        <f>DATE(2023,4,1)</f>
        <v>45017</v>
      </c>
      <c r="C158" s="204">
        <v>142343</v>
      </c>
      <c r="D158" s="204">
        <v>40604.5</v>
      </c>
      <c r="E158" s="204">
        <v>46651.5</v>
      </c>
      <c r="F158" s="132">
        <f t="shared" si="20"/>
        <v>-0.12962069815547195</v>
      </c>
      <c r="G158" s="215">
        <f t="shared" si="21"/>
        <v>0.28525814406047362</v>
      </c>
      <c r="H158" s="123"/>
    </row>
    <row r="159" spans="1:8" ht="15.75" x14ac:dyDescent="0.25">
      <c r="A159" s="130"/>
      <c r="B159" s="131">
        <f>DATE(2023,5,1)</f>
        <v>45047</v>
      </c>
      <c r="C159" s="204">
        <v>145443</v>
      </c>
      <c r="D159" s="204">
        <v>34609</v>
      </c>
      <c r="E159" s="204">
        <v>43335</v>
      </c>
      <c r="F159" s="132">
        <f t="shared" si="20"/>
        <v>-0.20136148609668858</v>
      </c>
      <c r="G159" s="215">
        <f t="shared" si="21"/>
        <v>0.23795576273866739</v>
      </c>
      <c r="H159" s="123"/>
    </row>
    <row r="160" spans="1:8" ht="15.75" thickBot="1" x14ac:dyDescent="0.25">
      <c r="A160" s="133"/>
      <c r="B160" s="134"/>
      <c r="C160" s="204"/>
      <c r="D160" s="204"/>
      <c r="E160" s="204"/>
      <c r="F160" s="132"/>
      <c r="G160" s="215"/>
      <c r="H160" s="123"/>
    </row>
    <row r="161" spans="1:8" ht="17.25" thickTop="1" thickBot="1" x14ac:dyDescent="0.3">
      <c r="A161" s="144" t="s">
        <v>14</v>
      </c>
      <c r="B161" s="145"/>
      <c r="C161" s="207">
        <f>SUM(C149:C160)</f>
        <v>1283586</v>
      </c>
      <c r="D161" s="207">
        <f>SUM(D149:D160)</f>
        <v>373332.5</v>
      </c>
      <c r="E161" s="207">
        <f>SUM(E149:E160)</f>
        <v>912105.5</v>
      </c>
      <c r="F161" s="143">
        <f>(+D161-E161)/E161</f>
        <v>-0.59069153732764468</v>
      </c>
      <c r="G161" s="217">
        <f>D161/C161</f>
        <v>0.29085117787199299</v>
      </c>
      <c r="H161" s="123"/>
    </row>
    <row r="162" spans="1:8" ht="15.75" customHeight="1" thickTop="1" x14ac:dyDescent="0.25">
      <c r="A162" s="130"/>
      <c r="B162" s="134"/>
      <c r="C162" s="204"/>
      <c r="D162" s="204"/>
      <c r="E162" s="204"/>
      <c r="F162" s="132"/>
      <c r="G162" s="218"/>
      <c r="H162" s="123"/>
    </row>
    <row r="163" spans="1:8" ht="15.75" x14ac:dyDescent="0.25">
      <c r="A163" s="130" t="s">
        <v>37</v>
      </c>
      <c r="B163" s="131">
        <f>DATE(2022,7,1)</f>
        <v>44743</v>
      </c>
      <c r="C163" s="204">
        <v>23474853</v>
      </c>
      <c r="D163" s="204">
        <v>4747644.93</v>
      </c>
      <c r="E163" s="204">
        <v>4828759.4400000004</v>
      </c>
      <c r="F163" s="132">
        <f t="shared" ref="F163:F173" si="22">(+D163-E163)/E163</f>
        <v>-1.679820894121839E-2</v>
      </c>
      <c r="G163" s="215">
        <f t="shared" ref="G163:G173" si="23">D163/C163</f>
        <v>0.20224386197434335</v>
      </c>
      <c r="H163" s="123"/>
    </row>
    <row r="164" spans="1:8" ht="15.75" x14ac:dyDescent="0.25">
      <c r="A164" s="130"/>
      <c r="B164" s="131">
        <f>DATE(2022,8,1)</f>
        <v>44774</v>
      </c>
      <c r="C164" s="204">
        <v>21618581</v>
      </c>
      <c r="D164" s="204">
        <v>5944421.2300000004</v>
      </c>
      <c r="E164" s="204">
        <v>4617763.22</v>
      </c>
      <c r="F164" s="132">
        <f t="shared" si="22"/>
        <v>0.28729450749101004</v>
      </c>
      <c r="G164" s="215">
        <f t="shared" si="23"/>
        <v>0.27496815031476862</v>
      </c>
      <c r="H164" s="123"/>
    </row>
    <row r="165" spans="1:8" ht="15.75" x14ac:dyDescent="0.25">
      <c r="A165" s="130"/>
      <c r="B165" s="131">
        <f>DATE(2022,9,1)</f>
        <v>44805</v>
      </c>
      <c r="C165" s="204">
        <v>22214362</v>
      </c>
      <c r="D165" s="204">
        <v>4482002.3499999996</v>
      </c>
      <c r="E165" s="204">
        <v>4146063.59</v>
      </c>
      <c r="F165" s="132">
        <f t="shared" si="22"/>
        <v>8.102595454885432E-2</v>
      </c>
      <c r="G165" s="215">
        <f t="shared" si="23"/>
        <v>0.20176147079983658</v>
      </c>
      <c r="H165" s="123"/>
    </row>
    <row r="166" spans="1:8" ht="15.75" x14ac:dyDescent="0.25">
      <c r="A166" s="130"/>
      <c r="B166" s="131">
        <f>DATE(2022,10,1)</f>
        <v>44835</v>
      </c>
      <c r="C166" s="204">
        <v>22521885</v>
      </c>
      <c r="D166" s="204">
        <v>4856222.42</v>
      </c>
      <c r="E166" s="204">
        <v>5459139.5700000003</v>
      </c>
      <c r="F166" s="132">
        <f t="shared" si="22"/>
        <v>-0.11044179073809618</v>
      </c>
      <c r="G166" s="215">
        <f t="shared" si="23"/>
        <v>0.21562237885505586</v>
      </c>
      <c r="H166" s="123"/>
    </row>
    <row r="167" spans="1:8" ht="15.75" x14ac:dyDescent="0.25">
      <c r="A167" s="130"/>
      <c r="B167" s="131">
        <f>DATE(2022,11,1)</f>
        <v>44866</v>
      </c>
      <c r="C167" s="204">
        <v>19717008</v>
      </c>
      <c r="D167" s="204">
        <v>4475648.3499999996</v>
      </c>
      <c r="E167" s="204">
        <v>4253233.6500000004</v>
      </c>
      <c r="F167" s="132">
        <f t="shared" si="22"/>
        <v>5.229308293467471E-2</v>
      </c>
      <c r="G167" s="215">
        <f t="shared" si="23"/>
        <v>0.22699429599054785</v>
      </c>
      <c r="H167" s="123"/>
    </row>
    <row r="168" spans="1:8" ht="15.75" x14ac:dyDescent="0.25">
      <c r="A168" s="130"/>
      <c r="B168" s="131">
        <f>DATE(2022,12,1)</f>
        <v>44896</v>
      </c>
      <c r="C168" s="204">
        <v>20731313</v>
      </c>
      <c r="D168" s="204">
        <v>4385866.74</v>
      </c>
      <c r="E168" s="204">
        <v>5369859.7400000002</v>
      </c>
      <c r="F168" s="132">
        <f t="shared" si="22"/>
        <v>-0.18324370610097163</v>
      </c>
      <c r="G168" s="215">
        <f t="shared" si="23"/>
        <v>0.21155759599018162</v>
      </c>
      <c r="H168" s="123"/>
    </row>
    <row r="169" spans="1:8" ht="15.75" x14ac:dyDescent="0.25">
      <c r="A169" s="130"/>
      <c r="B169" s="131">
        <f>DATE(2023,1,1)</f>
        <v>44927</v>
      </c>
      <c r="C169" s="204">
        <v>21378482</v>
      </c>
      <c r="D169" s="204">
        <v>4079109.4</v>
      </c>
      <c r="E169" s="204">
        <v>5388467.7599999998</v>
      </c>
      <c r="F169" s="132">
        <f t="shared" si="22"/>
        <v>-0.24299270559243355</v>
      </c>
      <c r="G169" s="215">
        <f t="shared" si="23"/>
        <v>0.19080444532965438</v>
      </c>
      <c r="H169" s="123"/>
    </row>
    <row r="170" spans="1:8" ht="15.75" x14ac:dyDescent="0.25">
      <c r="A170" s="130"/>
      <c r="B170" s="131">
        <f>DATE(2023,2,1)</f>
        <v>44958</v>
      </c>
      <c r="C170" s="204">
        <v>22040003</v>
      </c>
      <c r="D170" s="204">
        <v>5567189.9299999997</v>
      </c>
      <c r="E170" s="204">
        <v>4784961.13</v>
      </c>
      <c r="F170" s="132">
        <f t="shared" si="22"/>
        <v>0.16347652128158455</v>
      </c>
      <c r="G170" s="215">
        <f t="shared" si="23"/>
        <v>0.25259479002793239</v>
      </c>
      <c r="H170" s="123"/>
    </row>
    <row r="171" spans="1:8" ht="15.75" x14ac:dyDescent="0.25">
      <c r="A171" s="130"/>
      <c r="B171" s="131">
        <f>DATE(2023,3,1)</f>
        <v>44986</v>
      </c>
      <c r="C171" s="204">
        <v>23383513.5</v>
      </c>
      <c r="D171" s="204">
        <v>4791404.6399999997</v>
      </c>
      <c r="E171" s="204">
        <v>4993811.12</v>
      </c>
      <c r="F171" s="132">
        <f t="shared" si="22"/>
        <v>-4.0531464874466544E-2</v>
      </c>
      <c r="G171" s="215">
        <f t="shared" si="23"/>
        <v>0.20490524830667553</v>
      </c>
      <c r="H171" s="123"/>
    </row>
    <row r="172" spans="1:8" ht="15.75" x14ac:dyDescent="0.25">
      <c r="A172" s="130"/>
      <c r="B172" s="131">
        <f>DATE(2023,4,1)</f>
        <v>45017</v>
      </c>
      <c r="C172" s="204">
        <v>21542662</v>
      </c>
      <c r="D172" s="204">
        <v>4936530.01</v>
      </c>
      <c r="E172" s="204">
        <v>5496853.5899999999</v>
      </c>
      <c r="F172" s="132">
        <f t="shared" si="22"/>
        <v>-0.10193532915254526</v>
      </c>
      <c r="G172" s="215">
        <f t="shared" si="23"/>
        <v>0.22915134675556809</v>
      </c>
      <c r="H172" s="123"/>
    </row>
    <row r="173" spans="1:8" ht="15.75" x14ac:dyDescent="0.25">
      <c r="A173" s="130"/>
      <c r="B173" s="131">
        <f>DATE(2023,5,1)</f>
        <v>45047</v>
      </c>
      <c r="C173" s="204">
        <v>20466885</v>
      </c>
      <c r="D173" s="204">
        <v>4532568.07</v>
      </c>
      <c r="E173" s="204">
        <v>4553328.82</v>
      </c>
      <c r="F173" s="132">
        <f t="shared" si="22"/>
        <v>-4.5594664520626467E-3</v>
      </c>
      <c r="G173" s="215">
        <f t="shared" si="23"/>
        <v>0.22145861815317769</v>
      </c>
      <c r="H173" s="123"/>
    </row>
    <row r="174" spans="1:8" ht="15.75" thickBot="1" x14ac:dyDescent="0.25">
      <c r="A174" s="133"/>
      <c r="B174" s="134"/>
      <c r="C174" s="204"/>
      <c r="D174" s="204"/>
      <c r="E174" s="204"/>
      <c r="F174" s="132"/>
      <c r="G174" s="215"/>
      <c r="H174" s="123"/>
    </row>
    <row r="175" spans="1:8" ht="17.25" thickTop="1" thickBot="1" x14ac:dyDescent="0.3">
      <c r="A175" s="141" t="s">
        <v>14</v>
      </c>
      <c r="B175" s="142"/>
      <c r="C175" s="206">
        <f>SUM(C163:C174)</f>
        <v>239089547.5</v>
      </c>
      <c r="D175" s="207">
        <f>SUM(D163:D174)</f>
        <v>52798608.07</v>
      </c>
      <c r="E175" s="206">
        <f>SUM(E163:E174)</f>
        <v>53892241.630000003</v>
      </c>
      <c r="F175" s="143">
        <f>(+D175-E175)/E175</f>
        <v>-2.0292968466748901E-2</v>
      </c>
      <c r="G175" s="217">
        <f>D175/C175</f>
        <v>0.22083193774918161</v>
      </c>
      <c r="H175" s="123"/>
    </row>
    <row r="176" spans="1:8" ht="15.75" customHeight="1" thickTop="1" x14ac:dyDescent="0.25">
      <c r="A176" s="130"/>
      <c r="B176" s="134"/>
      <c r="C176" s="204"/>
      <c r="D176" s="204"/>
      <c r="E176" s="204"/>
      <c r="F176" s="132"/>
      <c r="G176" s="218"/>
      <c r="H176" s="123"/>
    </row>
    <row r="177" spans="1:8" ht="15.75" x14ac:dyDescent="0.25">
      <c r="A177" s="130" t="s">
        <v>57</v>
      </c>
      <c r="B177" s="131">
        <f>DATE(2022,7,1)</f>
        <v>44743</v>
      </c>
      <c r="C177" s="204">
        <v>726679</v>
      </c>
      <c r="D177" s="204">
        <v>196833</v>
      </c>
      <c r="E177" s="204">
        <v>127439.5</v>
      </c>
      <c r="F177" s="132">
        <f t="shared" ref="F177:F187" si="24">(+D177-E177)/E177</f>
        <v>0.54452112571063127</v>
      </c>
      <c r="G177" s="215">
        <f t="shared" ref="G177:G187" si="25">D177/C177</f>
        <v>0.27086650364191067</v>
      </c>
      <c r="H177" s="123"/>
    </row>
    <row r="178" spans="1:8" ht="15.75" x14ac:dyDescent="0.25">
      <c r="A178" s="130"/>
      <c r="B178" s="131">
        <f>DATE(2022,8,1)</f>
        <v>44774</v>
      </c>
      <c r="C178" s="204">
        <v>607303</v>
      </c>
      <c r="D178" s="204">
        <v>151280.5</v>
      </c>
      <c r="E178" s="204">
        <v>132624</v>
      </c>
      <c r="F178" s="132">
        <f t="shared" si="24"/>
        <v>0.14067212570877066</v>
      </c>
      <c r="G178" s="215">
        <f t="shared" si="25"/>
        <v>0.24910217799022893</v>
      </c>
      <c r="H178" s="123"/>
    </row>
    <row r="179" spans="1:8" ht="15.75" x14ac:dyDescent="0.25">
      <c r="A179" s="130"/>
      <c r="B179" s="131">
        <f>DATE(2022,9,1)</f>
        <v>44805</v>
      </c>
      <c r="C179" s="204">
        <v>597896</v>
      </c>
      <c r="D179" s="204">
        <v>193974</v>
      </c>
      <c r="E179" s="204">
        <v>116203.5</v>
      </c>
      <c r="F179" s="132">
        <f t="shared" si="24"/>
        <v>0.66926125288825211</v>
      </c>
      <c r="G179" s="215">
        <f t="shared" si="25"/>
        <v>0.32442765965987397</v>
      </c>
      <c r="H179" s="123"/>
    </row>
    <row r="180" spans="1:8" ht="15.75" x14ac:dyDescent="0.25">
      <c r="A180" s="130"/>
      <c r="B180" s="131">
        <f>DATE(2022,10,1)</f>
        <v>44835</v>
      </c>
      <c r="C180" s="204">
        <v>616111</v>
      </c>
      <c r="D180" s="204">
        <v>196489.5</v>
      </c>
      <c r="E180" s="204">
        <v>167500.5</v>
      </c>
      <c r="F180" s="132">
        <f t="shared" si="24"/>
        <v>0.17306814009510418</v>
      </c>
      <c r="G180" s="215">
        <f t="shared" si="25"/>
        <v>0.31891899349305564</v>
      </c>
      <c r="H180" s="123"/>
    </row>
    <row r="181" spans="1:8" ht="15.75" x14ac:dyDescent="0.25">
      <c r="A181" s="130"/>
      <c r="B181" s="131">
        <f>DATE(2022,11,1)</f>
        <v>44866</v>
      </c>
      <c r="C181" s="204">
        <v>588129</v>
      </c>
      <c r="D181" s="204">
        <v>205853.5</v>
      </c>
      <c r="E181" s="204">
        <v>144385.5</v>
      </c>
      <c r="F181" s="132">
        <f t="shared" si="24"/>
        <v>0.42572141939460678</v>
      </c>
      <c r="G181" s="215">
        <f t="shared" si="25"/>
        <v>0.35001419756550006</v>
      </c>
      <c r="H181" s="123"/>
    </row>
    <row r="182" spans="1:8" ht="15.75" x14ac:dyDescent="0.25">
      <c r="A182" s="130"/>
      <c r="B182" s="131">
        <f>DATE(2022,12,1)</f>
        <v>44896</v>
      </c>
      <c r="C182" s="204">
        <v>601617</v>
      </c>
      <c r="D182" s="204">
        <v>179648</v>
      </c>
      <c r="E182" s="204">
        <v>189046.5</v>
      </c>
      <c r="F182" s="132">
        <f t="shared" si="24"/>
        <v>-4.9715281689954587E-2</v>
      </c>
      <c r="G182" s="215">
        <f t="shared" si="25"/>
        <v>0.29860858320160499</v>
      </c>
      <c r="H182" s="123"/>
    </row>
    <row r="183" spans="1:8" ht="15.75" x14ac:dyDescent="0.25">
      <c r="A183" s="130"/>
      <c r="B183" s="131">
        <f>DATE(2023,1,1)</f>
        <v>44927</v>
      </c>
      <c r="C183" s="204">
        <v>562727</v>
      </c>
      <c r="D183" s="204">
        <v>120250</v>
      </c>
      <c r="E183" s="204">
        <v>129604</v>
      </c>
      <c r="F183" s="132">
        <f t="shared" si="24"/>
        <v>-7.2173698342643741E-2</v>
      </c>
      <c r="G183" s="215">
        <f t="shared" si="25"/>
        <v>0.21369154136908305</v>
      </c>
      <c r="H183" s="123"/>
    </row>
    <row r="184" spans="1:8" ht="15.75" x14ac:dyDescent="0.25">
      <c r="A184" s="130"/>
      <c r="B184" s="131">
        <f>DATE(2023,2,1)</f>
        <v>44958</v>
      </c>
      <c r="C184" s="204">
        <v>577741</v>
      </c>
      <c r="D184" s="204">
        <v>189664</v>
      </c>
      <c r="E184" s="204">
        <v>141185</v>
      </c>
      <c r="F184" s="132">
        <f t="shared" si="24"/>
        <v>0.34337217126465275</v>
      </c>
      <c r="G184" s="215">
        <f t="shared" si="25"/>
        <v>0.32828551202009204</v>
      </c>
      <c r="H184" s="123"/>
    </row>
    <row r="185" spans="1:8" ht="15.75" x14ac:dyDescent="0.25">
      <c r="A185" s="130"/>
      <c r="B185" s="131">
        <f>DATE(2023,3,1)</f>
        <v>44986</v>
      </c>
      <c r="C185" s="204">
        <v>693599</v>
      </c>
      <c r="D185" s="204">
        <v>187974</v>
      </c>
      <c r="E185" s="204">
        <v>258133.5</v>
      </c>
      <c r="F185" s="132">
        <f t="shared" si="24"/>
        <v>-0.27179540818994824</v>
      </c>
      <c r="G185" s="215">
        <f t="shared" si="25"/>
        <v>0.27101250145977718</v>
      </c>
      <c r="H185" s="123"/>
    </row>
    <row r="186" spans="1:8" ht="15.75" x14ac:dyDescent="0.25">
      <c r="A186" s="130"/>
      <c r="B186" s="131">
        <f>DATE(2023,4,1)</f>
        <v>45017</v>
      </c>
      <c r="C186" s="204">
        <v>733569</v>
      </c>
      <c r="D186" s="204">
        <v>218310</v>
      </c>
      <c r="E186" s="204">
        <v>197147</v>
      </c>
      <c r="F186" s="132">
        <f t="shared" si="24"/>
        <v>0.10734629489670144</v>
      </c>
      <c r="G186" s="215">
        <f t="shared" si="25"/>
        <v>0.29759981678615099</v>
      </c>
      <c r="H186" s="123"/>
    </row>
    <row r="187" spans="1:8" ht="15.75" x14ac:dyDescent="0.25">
      <c r="A187" s="130"/>
      <c r="B187" s="131">
        <f>DATE(2023,5,1)</f>
        <v>45047</v>
      </c>
      <c r="C187" s="204">
        <v>585870</v>
      </c>
      <c r="D187" s="204">
        <v>141377</v>
      </c>
      <c r="E187" s="204">
        <v>164271.5</v>
      </c>
      <c r="F187" s="132">
        <f t="shared" si="24"/>
        <v>-0.13936988461175553</v>
      </c>
      <c r="G187" s="215">
        <f t="shared" si="25"/>
        <v>0.24131121238500008</v>
      </c>
      <c r="H187" s="123"/>
    </row>
    <row r="188" spans="1:8" ht="15.75" thickBot="1" x14ac:dyDescent="0.25">
      <c r="A188" s="133"/>
      <c r="B188" s="134"/>
      <c r="C188" s="204"/>
      <c r="D188" s="204"/>
      <c r="E188" s="204"/>
      <c r="F188" s="132"/>
      <c r="G188" s="215"/>
      <c r="H188" s="123"/>
    </row>
    <row r="189" spans="1:8" ht="17.25" thickTop="1" thickBot="1" x14ac:dyDescent="0.3">
      <c r="A189" s="135" t="s">
        <v>14</v>
      </c>
      <c r="B189" s="136"/>
      <c r="C189" s="201">
        <f>SUM(C177:C188)</f>
        <v>6891241</v>
      </c>
      <c r="D189" s="207">
        <f>SUM(D177:D188)</f>
        <v>1981653.5</v>
      </c>
      <c r="E189" s="207">
        <f>SUM(E177:E188)</f>
        <v>1767540.5</v>
      </c>
      <c r="F189" s="143">
        <f>(+D189-E189)/E189</f>
        <v>0.12113612106766436</v>
      </c>
      <c r="G189" s="217">
        <f>D189/C189</f>
        <v>0.28756119543635172</v>
      </c>
      <c r="H189" s="123"/>
    </row>
    <row r="190" spans="1:8" ht="16.5" thickTop="1" thickBot="1" x14ac:dyDescent="0.25">
      <c r="A190" s="146"/>
      <c r="B190" s="139"/>
      <c r="C190" s="205"/>
      <c r="D190" s="205"/>
      <c r="E190" s="205"/>
      <c r="F190" s="140"/>
      <c r="G190" s="216"/>
      <c r="H190" s="123"/>
    </row>
    <row r="191" spans="1:8" ht="17.25" thickTop="1" thickBot="1" x14ac:dyDescent="0.3">
      <c r="A191" s="147" t="s">
        <v>38</v>
      </c>
      <c r="B191" s="121"/>
      <c r="C191" s="201">
        <f>C189+C175+C133+C105+C77+C49+C21+C63+C161+C35+C119+C147+C91</f>
        <v>1174647852.8400002</v>
      </c>
      <c r="D191" s="201">
        <f>D189+D175+D133+D105+D77+D49+D21+D63+D161+D35+D119+D147+D91</f>
        <v>251953654.72999999</v>
      </c>
      <c r="E191" s="201">
        <f>E189+E175+E133+E105+E77+E49+E21+E63+E161+E35+E119+E147+E91</f>
        <v>244619427.44</v>
      </c>
      <c r="F191" s="137">
        <f>(+D191-E191)/E191</f>
        <v>2.9982194655405785E-2</v>
      </c>
      <c r="G191" s="212">
        <f>D191/C191</f>
        <v>0.2144929257911978</v>
      </c>
      <c r="H191" s="123"/>
    </row>
    <row r="192" spans="1:8" ht="17.25" thickTop="1" thickBot="1" x14ac:dyDescent="0.3">
      <c r="A192" s="147"/>
      <c r="B192" s="121"/>
      <c r="C192" s="201"/>
      <c r="D192" s="201"/>
      <c r="E192" s="201"/>
      <c r="F192" s="137"/>
      <c r="G192" s="212"/>
      <c r="H192" s="123"/>
    </row>
    <row r="193" spans="1:8" ht="17.25" thickTop="1" thickBot="1" x14ac:dyDescent="0.3">
      <c r="A193" s="265" t="s">
        <v>39</v>
      </c>
      <c r="B193" s="266"/>
      <c r="C193" s="206">
        <f>+C19+C33+C47+C61+C75+C89+C103+C117+C131+C145+C159+C173+C187</f>
        <v>109659852</v>
      </c>
      <c r="D193" s="206">
        <f>+D19+D33+D47+D61+D75+D89+D103+D117+D131+D145+D159+D173+D187</f>
        <v>23197664.16</v>
      </c>
      <c r="E193" s="206">
        <f>+E19+E33+E47+E61+E75+E89+E103+E117+E131+E145+E159+E173+E187</f>
        <v>22805266.52</v>
      </c>
      <c r="F193" s="268">
        <f>(+D193-E193)/E193</f>
        <v>1.7206448328760886E-2</v>
      </c>
      <c r="G193" s="217">
        <f>D193/C193</f>
        <v>0.2115419977039546</v>
      </c>
      <c r="H193" s="123"/>
    </row>
    <row r="194" spans="1:8" ht="16.5" thickTop="1" x14ac:dyDescent="0.25">
      <c r="A194" s="256"/>
      <c r="B194" s="258"/>
      <c r="C194" s="259"/>
      <c r="D194" s="259"/>
      <c r="E194" s="259"/>
      <c r="F194" s="260"/>
      <c r="G194" s="257"/>
      <c r="H194" s="257"/>
    </row>
    <row r="195" spans="1:8" ht="18.75" x14ac:dyDescent="0.3">
      <c r="A195" s="263" t="s">
        <v>40</v>
      </c>
      <c r="B195" s="117"/>
      <c r="C195" s="208"/>
      <c r="D195" s="208"/>
      <c r="E195" s="208"/>
      <c r="F195" s="148"/>
      <c r="G195" s="220"/>
    </row>
    <row r="196" spans="1:8" ht="15.75" x14ac:dyDescent="0.25">
      <c r="A196" s="7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4" manualBreakCount="4">
    <brk id="49" max="7" man="1"/>
    <brk id="91" max="7" man="1"/>
    <brk id="133" max="7" man="1"/>
    <brk id="17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59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77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73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65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66</v>
      </c>
      <c r="E8" s="224" t="s">
        <v>66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DATE(22,7,1)</f>
        <v>8218</v>
      </c>
      <c r="C10" s="226">
        <v>2413177.5299999998</v>
      </c>
      <c r="D10" s="226">
        <v>120141.72</v>
      </c>
      <c r="E10" s="226">
        <v>0</v>
      </c>
      <c r="F10" s="166">
        <v>1</v>
      </c>
      <c r="G10" s="241">
        <f>+D10/C10</f>
        <v>4.9785694797183033E-2</v>
      </c>
      <c r="H10" s="289">
        <f>1-G10</f>
        <v>0.95021430520281691</v>
      </c>
    </row>
    <row r="11" spans="1:8" ht="15.75" x14ac:dyDescent="0.25">
      <c r="A11" s="164"/>
      <c r="B11" s="165">
        <f>DATE(22,8,1)</f>
        <v>8249</v>
      </c>
      <c r="C11" s="226">
        <v>2066898.51</v>
      </c>
      <c r="D11" s="226">
        <v>119034.53</v>
      </c>
      <c r="E11" s="226">
        <v>0</v>
      </c>
      <c r="F11" s="166">
        <v>1</v>
      </c>
      <c r="G11" s="241">
        <f>+D11/C11</f>
        <v>5.7590892549436307E-2</v>
      </c>
      <c r="H11" s="289">
        <f>1-G11</f>
        <v>0.94240910745056372</v>
      </c>
    </row>
    <row r="12" spans="1:8" ht="15.75" x14ac:dyDescent="0.25">
      <c r="A12" s="164"/>
      <c r="B12" s="165">
        <f>DATE(22,9,1)</f>
        <v>8280</v>
      </c>
      <c r="C12" s="226">
        <v>1851491.04</v>
      </c>
      <c r="D12" s="226">
        <v>77282.02</v>
      </c>
      <c r="E12" s="226">
        <v>0</v>
      </c>
      <c r="F12" s="166">
        <v>1</v>
      </c>
      <c r="G12" s="241">
        <f>+D12/C12</f>
        <v>4.1740423437317854E-2</v>
      </c>
      <c r="H12" s="289">
        <f>1-G12</f>
        <v>0.95825957656268212</v>
      </c>
    </row>
    <row r="13" spans="1:8" ht="15.75" x14ac:dyDescent="0.25">
      <c r="A13" s="164"/>
      <c r="B13" s="165">
        <f>DATE(22,10,1)</f>
        <v>8310</v>
      </c>
      <c r="C13" s="226">
        <v>2056131.12</v>
      </c>
      <c r="D13" s="226">
        <v>97377.75</v>
      </c>
      <c r="E13" s="226">
        <v>0</v>
      </c>
      <c r="F13" s="166">
        <v>1</v>
      </c>
      <c r="G13" s="241">
        <f>+D13/C13</f>
        <v>4.7359698539069822E-2</v>
      </c>
      <c r="H13" s="289">
        <f>1-G13</f>
        <v>0.95264030146093015</v>
      </c>
    </row>
    <row r="14" spans="1:8" ht="15.75" x14ac:dyDescent="0.25">
      <c r="A14" s="164"/>
      <c r="B14" s="165">
        <f>DATE(22,11,1)</f>
        <v>8341</v>
      </c>
      <c r="C14" s="226">
        <v>1833034.34</v>
      </c>
      <c r="D14" s="226">
        <v>92934.27</v>
      </c>
      <c r="E14" s="226">
        <v>51101.03</v>
      </c>
      <c r="F14" s="166">
        <f>+(D14-E14)/E14</f>
        <v>0.81863790221058175</v>
      </c>
      <c r="G14" s="241">
        <f>+D14/C14</f>
        <v>5.0699688473921332E-2</v>
      </c>
      <c r="H14" s="289">
        <f>1-G14</f>
        <v>0.94930031152607863</v>
      </c>
    </row>
    <row r="15" spans="1:8" ht="15.75" x14ac:dyDescent="0.25">
      <c r="A15" s="164"/>
      <c r="B15" s="165">
        <f>DATE(22,12,1)</f>
        <v>8371</v>
      </c>
      <c r="C15" s="226">
        <v>0</v>
      </c>
      <c r="D15" s="226">
        <v>0</v>
      </c>
      <c r="E15" s="226">
        <v>90195.59</v>
      </c>
      <c r="F15" s="166">
        <v>-1</v>
      </c>
      <c r="G15" s="241">
        <v>0</v>
      </c>
      <c r="H15" s="289">
        <v>0</v>
      </c>
    </row>
    <row r="16" spans="1:8" ht="15.75" x14ac:dyDescent="0.25">
      <c r="A16" s="164"/>
      <c r="B16" s="165">
        <f>DATE(23,1,1)</f>
        <v>8402</v>
      </c>
      <c r="C16" s="226">
        <v>0</v>
      </c>
      <c r="D16" s="226">
        <v>0</v>
      </c>
      <c r="E16" s="226">
        <v>119559.87</v>
      </c>
      <c r="F16" s="166">
        <v>-1</v>
      </c>
      <c r="G16" s="241">
        <v>0</v>
      </c>
      <c r="H16" s="289">
        <v>0</v>
      </c>
    </row>
    <row r="17" spans="1:8" ht="15.75" x14ac:dyDescent="0.25">
      <c r="A17" s="164"/>
      <c r="B17" s="165">
        <f>DATE(23,2,1)</f>
        <v>8433</v>
      </c>
      <c r="C17" s="226">
        <v>0</v>
      </c>
      <c r="D17" s="226">
        <v>0</v>
      </c>
      <c r="E17" s="226">
        <v>134655.35</v>
      </c>
      <c r="F17" s="166">
        <v>-1</v>
      </c>
      <c r="G17" s="241">
        <v>0</v>
      </c>
      <c r="H17" s="289">
        <v>0</v>
      </c>
    </row>
    <row r="18" spans="1:8" ht="15.75" x14ac:dyDescent="0.25">
      <c r="A18" s="164"/>
      <c r="B18" s="165">
        <f>DATE(23,3,1)</f>
        <v>8461</v>
      </c>
      <c r="C18" s="226">
        <v>0</v>
      </c>
      <c r="D18" s="226">
        <v>0</v>
      </c>
      <c r="E18" s="226">
        <v>138761.57</v>
      </c>
      <c r="F18" s="166">
        <v>-1</v>
      </c>
      <c r="G18" s="241">
        <v>0</v>
      </c>
      <c r="H18" s="289">
        <v>0</v>
      </c>
    </row>
    <row r="19" spans="1:8" ht="15.75" x14ac:dyDescent="0.25">
      <c r="A19" s="164"/>
      <c r="B19" s="165">
        <f>DATE(23,4,1)</f>
        <v>8492</v>
      </c>
      <c r="C19" s="226">
        <v>0</v>
      </c>
      <c r="D19" s="226">
        <v>0</v>
      </c>
      <c r="E19" s="226">
        <v>96442.880000000005</v>
      </c>
      <c r="F19" s="166">
        <v>-1</v>
      </c>
      <c r="G19" s="241">
        <v>0</v>
      </c>
      <c r="H19" s="289">
        <v>0</v>
      </c>
    </row>
    <row r="20" spans="1:8" ht="15.75" x14ac:dyDescent="0.25">
      <c r="A20" s="164"/>
      <c r="B20" s="165">
        <f>DATE(23,5,1)</f>
        <v>8522</v>
      </c>
      <c r="C20" s="226">
        <v>0</v>
      </c>
      <c r="D20" s="226">
        <v>0</v>
      </c>
      <c r="E20" s="226">
        <v>101555.65</v>
      </c>
      <c r="F20" s="166">
        <v>-1</v>
      </c>
      <c r="G20" s="241">
        <v>0</v>
      </c>
      <c r="H20" s="289">
        <v>0</v>
      </c>
    </row>
    <row r="21" spans="1:8" ht="15.75" thickBot="1" x14ac:dyDescent="0.25">
      <c r="A21" s="167"/>
      <c r="B21" s="168"/>
      <c r="C21" s="226"/>
      <c r="D21" s="226"/>
      <c r="E21" s="226"/>
      <c r="F21" s="166"/>
      <c r="G21" s="241"/>
      <c r="H21" s="242"/>
    </row>
    <row r="22" spans="1:8" ht="17.25" thickTop="1" thickBot="1" x14ac:dyDescent="0.3">
      <c r="A22" s="169" t="s">
        <v>14</v>
      </c>
      <c r="B22" s="155"/>
      <c r="C22" s="223">
        <f>SUM(C10:C21)</f>
        <v>10220732.540000001</v>
      </c>
      <c r="D22" s="223">
        <f>SUM(D10:D21)</f>
        <v>506770.29000000004</v>
      </c>
      <c r="E22" s="223">
        <f>SUM(E10:E21)</f>
        <v>732271.94</v>
      </c>
      <c r="F22" s="176">
        <f>+(D22-E22)/E22</f>
        <v>-0.30794795987949491</v>
      </c>
      <c r="G22" s="245">
        <f>+D22/C22</f>
        <v>4.9582580115143098E-2</v>
      </c>
      <c r="H22" s="246">
        <f>1-G22</f>
        <v>0.95041741988485695</v>
      </c>
    </row>
    <row r="23" spans="1:8" ht="15.75" thickTop="1" x14ac:dyDescent="0.2">
      <c r="A23" s="171"/>
      <c r="B23" s="172"/>
      <c r="C23" s="227"/>
      <c r="D23" s="227"/>
      <c r="E23" s="227"/>
      <c r="F23" s="173"/>
      <c r="G23" s="243"/>
      <c r="H23" s="244"/>
    </row>
    <row r="24" spans="1:8" ht="15.75" x14ac:dyDescent="0.25">
      <c r="A24" s="19" t="s">
        <v>48</v>
      </c>
      <c r="B24" s="165">
        <f>DATE(22,7,1)</f>
        <v>8218</v>
      </c>
      <c r="C24" s="226">
        <v>0</v>
      </c>
      <c r="D24" s="226">
        <v>0</v>
      </c>
      <c r="E24" s="226">
        <v>0</v>
      </c>
      <c r="F24" s="166">
        <v>0</v>
      </c>
      <c r="G24" s="241">
        <v>0</v>
      </c>
      <c r="H24" s="242">
        <v>0</v>
      </c>
    </row>
    <row r="25" spans="1:8" ht="15.75" x14ac:dyDescent="0.25">
      <c r="A25" s="19"/>
      <c r="B25" s="165">
        <f>DATE(22,8,1)</f>
        <v>8249</v>
      </c>
      <c r="C25" s="226">
        <v>0</v>
      </c>
      <c r="D25" s="226">
        <v>0</v>
      </c>
      <c r="E25" s="226">
        <v>0</v>
      </c>
      <c r="F25" s="166">
        <v>0</v>
      </c>
      <c r="G25" s="241">
        <v>0</v>
      </c>
      <c r="H25" s="242">
        <v>0</v>
      </c>
    </row>
    <row r="26" spans="1:8" ht="15.75" x14ac:dyDescent="0.25">
      <c r="A26" s="19"/>
      <c r="B26" s="165">
        <f>DATE(22,9,1)</f>
        <v>8280</v>
      </c>
      <c r="C26" s="226">
        <v>0</v>
      </c>
      <c r="D26" s="226">
        <v>0</v>
      </c>
      <c r="E26" s="226">
        <v>0</v>
      </c>
      <c r="F26" s="166">
        <v>0</v>
      </c>
      <c r="G26" s="241">
        <v>0</v>
      </c>
      <c r="H26" s="242">
        <v>0</v>
      </c>
    </row>
    <row r="27" spans="1:8" ht="15.75" x14ac:dyDescent="0.25">
      <c r="A27" s="19"/>
      <c r="B27" s="165">
        <f>DATE(22,10,1)</f>
        <v>8310</v>
      </c>
      <c r="C27" s="226">
        <v>0</v>
      </c>
      <c r="D27" s="226">
        <v>0</v>
      </c>
      <c r="E27" s="226">
        <v>0</v>
      </c>
      <c r="F27" s="166">
        <v>0</v>
      </c>
      <c r="G27" s="241">
        <v>0</v>
      </c>
      <c r="H27" s="242">
        <v>0</v>
      </c>
    </row>
    <row r="28" spans="1:8" ht="15.75" x14ac:dyDescent="0.25">
      <c r="A28" s="19"/>
      <c r="B28" s="165">
        <f>DATE(22,11,1)</f>
        <v>8341</v>
      </c>
      <c r="C28" s="226">
        <v>0</v>
      </c>
      <c r="D28" s="226">
        <v>0</v>
      </c>
      <c r="E28" s="226">
        <v>0</v>
      </c>
      <c r="F28" s="166">
        <v>0</v>
      </c>
      <c r="G28" s="241">
        <v>0</v>
      </c>
      <c r="H28" s="242">
        <v>0</v>
      </c>
    </row>
    <row r="29" spans="1:8" ht="15.75" x14ac:dyDescent="0.25">
      <c r="A29" s="19"/>
      <c r="B29" s="165">
        <f>DATE(22,12,1)</f>
        <v>8371</v>
      </c>
      <c r="C29" s="226">
        <v>0</v>
      </c>
      <c r="D29" s="226">
        <v>0</v>
      </c>
      <c r="E29" s="226">
        <v>0</v>
      </c>
      <c r="F29" s="166">
        <v>0</v>
      </c>
      <c r="G29" s="241">
        <v>0</v>
      </c>
      <c r="H29" s="242">
        <v>0</v>
      </c>
    </row>
    <row r="30" spans="1:8" ht="15.75" x14ac:dyDescent="0.25">
      <c r="A30" s="19"/>
      <c r="B30" s="165">
        <f>DATE(23,1,1)</f>
        <v>8402</v>
      </c>
      <c r="C30" s="226">
        <v>0</v>
      </c>
      <c r="D30" s="226">
        <v>0</v>
      </c>
      <c r="E30" s="226">
        <v>0</v>
      </c>
      <c r="F30" s="166">
        <v>0</v>
      </c>
      <c r="G30" s="241">
        <v>0</v>
      </c>
      <c r="H30" s="242">
        <v>0</v>
      </c>
    </row>
    <row r="31" spans="1:8" ht="15.75" x14ac:dyDescent="0.25">
      <c r="A31" s="19"/>
      <c r="B31" s="165">
        <f>DATE(23,2,1)</f>
        <v>8433</v>
      </c>
      <c r="C31" s="226">
        <v>0</v>
      </c>
      <c r="D31" s="226">
        <v>0</v>
      </c>
      <c r="E31" s="226">
        <v>0</v>
      </c>
      <c r="F31" s="166">
        <v>0</v>
      </c>
      <c r="G31" s="241">
        <v>0</v>
      </c>
      <c r="H31" s="242">
        <v>0</v>
      </c>
    </row>
    <row r="32" spans="1:8" ht="15.75" x14ac:dyDescent="0.25">
      <c r="A32" s="19"/>
      <c r="B32" s="165">
        <f>DATE(23,3,1)</f>
        <v>8461</v>
      </c>
      <c r="C32" s="226">
        <v>0</v>
      </c>
      <c r="D32" s="226">
        <v>0</v>
      </c>
      <c r="E32" s="226">
        <v>0</v>
      </c>
      <c r="F32" s="166">
        <v>0</v>
      </c>
      <c r="G32" s="241">
        <v>0</v>
      </c>
      <c r="H32" s="242">
        <v>0</v>
      </c>
    </row>
    <row r="33" spans="1:8" ht="15.75" x14ac:dyDescent="0.25">
      <c r="A33" s="19"/>
      <c r="B33" s="165">
        <f>DATE(23,4,1)</f>
        <v>8492</v>
      </c>
      <c r="C33" s="226">
        <v>0</v>
      </c>
      <c r="D33" s="226">
        <v>0</v>
      </c>
      <c r="E33" s="226">
        <v>0</v>
      </c>
      <c r="F33" s="166">
        <v>0</v>
      </c>
      <c r="G33" s="241">
        <v>0</v>
      </c>
      <c r="H33" s="242">
        <v>0</v>
      </c>
    </row>
    <row r="34" spans="1:8" ht="15.75" x14ac:dyDescent="0.25">
      <c r="A34" s="19"/>
      <c r="B34" s="165">
        <f>DATE(23,5,1)</f>
        <v>8522</v>
      </c>
      <c r="C34" s="226">
        <v>0</v>
      </c>
      <c r="D34" s="226">
        <v>0</v>
      </c>
      <c r="E34" s="226">
        <v>0</v>
      </c>
      <c r="F34" s="166">
        <v>0</v>
      </c>
      <c r="G34" s="241">
        <v>0</v>
      </c>
      <c r="H34" s="242">
        <v>0</v>
      </c>
    </row>
    <row r="35" spans="1:8" ht="15.75" thickBot="1" x14ac:dyDescent="0.25">
      <c r="A35" s="167"/>
      <c r="B35" s="165"/>
      <c r="C35" s="226"/>
      <c r="D35" s="226"/>
      <c r="E35" s="226"/>
      <c r="F35" s="166"/>
      <c r="G35" s="241"/>
      <c r="H35" s="242"/>
    </row>
    <row r="36" spans="1:8" ht="17.25" thickTop="1" thickBot="1" x14ac:dyDescent="0.3">
      <c r="A36" s="169" t="s">
        <v>14</v>
      </c>
      <c r="B36" s="155"/>
      <c r="C36" s="223">
        <f>SUM(C24:C35)</f>
        <v>0</v>
      </c>
      <c r="D36" s="223">
        <f>SUM(D24:D35)</f>
        <v>0</v>
      </c>
      <c r="E36" s="223">
        <f>SUM(E24:E35)</f>
        <v>0</v>
      </c>
      <c r="F36" s="170">
        <v>0</v>
      </c>
      <c r="G36" s="236">
        <v>0</v>
      </c>
      <c r="H36" s="237">
        <v>0</v>
      </c>
    </row>
    <row r="37" spans="1:8" ht="15.75" thickTop="1" x14ac:dyDescent="0.2">
      <c r="A37" s="171"/>
      <c r="B37" s="172"/>
      <c r="C37" s="227"/>
      <c r="D37" s="227"/>
      <c r="E37" s="227"/>
      <c r="F37" s="173"/>
      <c r="G37" s="243"/>
      <c r="H37" s="244"/>
    </row>
    <row r="38" spans="1:8" ht="15.75" x14ac:dyDescent="0.25">
      <c r="A38" s="19" t="s">
        <v>62</v>
      </c>
      <c r="B38" s="165">
        <f>DATE(22,7,1)</f>
        <v>8218</v>
      </c>
      <c r="C38" s="226">
        <v>0</v>
      </c>
      <c r="D38" s="226">
        <v>0</v>
      </c>
      <c r="E38" s="226">
        <v>0</v>
      </c>
      <c r="F38" s="166">
        <v>0</v>
      </c>
      <c r="G38" s="241">
        <v>0</v>
      </c>
      <c r="H38" s="242">
        <v>0</v>
      </c>
    </row>
    <row r="39" spans="1:8" ht="15.75" x14ac:dyDescent="0.25">
      <c r="A39" s="19"/>
      <c r="B39" s="165">
        <f>DATE(22,8,1)</f>
        <v>8249</v>
      </c>
      <c r="C39" s="226">
        <v>0</v>
      </c>
      <c r="D39" s="226">
        <v>0</v>
      </c>
      <c r="E39" s="226">
        <v>0</v>
      </c>
      <c r="F39" s="166">
        <v>0</v>
      </c>
      <c r="G39" s="241">
        <v>0</v>
      </c>
      <c r="H39" s="242">
        <v>0</v>
      </c>
    </row>
    <row r="40" spans="1:8" ht="15.75" x14ac:dyDescent="0.25">
      <c r="A40" s="19"/>
      <c r="B40" s="165">
        <f>DATE(22,9,1)</f>
        <v>8280</v>
      </c>
      <c r="C40" s="226">
        <v>0</v>
      </c>
      <c r="D40" s="226">
        <v>0</v>
      </c>
      <c r="E40" s="226">
        <v>0</v>
      </c>
      <c r="F40" s="166">
        <v>0</v>
      </c>
      <c r="G40" s="241">
        <v>0</v>
      </c>
      <c r="H40" s="242">
        <v>0</v>
      </c>
    </row>
    <row r="41" spans="1:8" ht="15.75" x14ac:dyDescent="0.25">
      <c r="A41" s="19"/>
      <c r="B41" s="165">
        <f>DATE(22,10,1)</f>
        <v>8310</v>
      </c>
      <c r="C41" s="226">
        <v>0</v>
      </c>
      <c r="D41" s="226">
        <v>0</v>
      </c>
      <c r="E41" s="226">
        <v>0</v>
      </c>
      <c r="F41" s="166">
        <v>0</v>
      </c>
      <c r="G41" s="241">
        <v>0</v>
      </c>
      <c r="H41" s="242">
        <v>0</v>
      </c>
    </row>
    <row r="42" spans="1:8" ht="15.75" x14ac:dyDescent="0.25">
      <c r="A42" s="19"/>
      <c r="B42" s="165">
        <f>DATE(22,11,1)</f>
        <v>8341</v>
      </c>
      <c r="C42" s="226">
        <v>0</v>
      </c>
      <c r="D42" s="226">
        <v>0</v>
      </c>
      <c r="E42" s="226">
        <v>0</v>
      </c>
      <c r="F42" s="166">
        <v>0</v>
      </c>
      <c r="G42" s="241">
        <v>0</v>
      </c>
      <c r="H42" s="242">
        <v>0</v>
      </c>
    </row>
    <row r="43" spans="1:8" ht="15.75" x14ac:dyDescent="0.25">
      <c r="A43" s="19"/>
      <c r="B43" s="165">
        <f>DATE(22,12,1)</f>
        <v>8371</v>
      </c>
      <c r="C43" s="226">
        <v>0</v>
      </c>
      <c r="D43" s="226">
        <v>0</v>
      </c>
      <c r="E43" s="226">
        <v>0</v>
      </c>
      <c r="F43" s="166">
        <v>0</v>
      </c>
      <c r="G43" s="241">
        <v>0</v>
      </c>
      <c r="H43" s="242">
        <v>0</v>
      </c>
    </row>
    <row r="44" spans="1:8" ht="15.75" x14ac:dyDescent="0.25">
      <c r="A44" s="19"/>
      <c r="B44" s="165">
        <f>DATE(23,1,1)</f>
        <v>8402</v>
      </c>
      <c r="C44" s="226">
        <v>0</v>
      </c>
      <c r="D44" s="226">
        <v>0</v>
      </c>
      <c r="E44" s="226">
        <v>0</v>
      </c>
      <c r="F44" s="166">
        <v>0</v>
      </c>
      <c r="G44" s="241">
        <v>0</v>
      </c>
      <c r="H44" s="242">
        <v>0</v>
      </c>
    </row>
    <row r="45" spans="1:8" ht="15.75" x14ac:dyDescent="0.25">
      <c r="A45" s="19"/>
      <c r="B45" s="165">
        <f>DATE(23,2,1)</f>
        <v>8433</v>
      </c>
      <c r="C45" s="226">
        <v>0</v>
      </c>
      <c r="D45" s="226">
        <v>0</v>
      </c>
      <c r="E45" s="226">
        <v>0</v>
      </c>
      <c r="F45" s="166">
        <v>0</v>
      </c>
      <c r="G45" s="241">
        <v>0</v>
      </c>
      <c r="H45" s="242">
        <v>0</v>
      </c>
    </row>
    <row r="46" spans="1:8" ht="15.75" x14ac:dyDescent="0.25">
      <c r="A46" s="19"/>
      <c r="B46" s="165">
        <f>DATE(23,3,1)</f>
        <v>8461</v>
      </c>
      <c r="C46" s="226">
        <v>0</v>
      </c>
      <c r="D46" s="226">
        <v>0</v>
      </c>
      <c r="E46" s="226">
        <v>0</v>
      </c>
      <c r="F46" s="166">
        <v>0</v>
      </c>
      <c r="G46" s="241">
        <v>0</v>
      </c>
      <c r="H46" s="242">
        <v>0</v>
      </c>
    </row>
    <row r="47" spans="1:8" ht="15.75" x14ac:dyDescent="0.25">
      <c r="A47" s="19"/>
      <c r="B47" s="165">
        <f>DATE(23,4,1)</f>
        <v>8492</v>
      </c>
      <c r="C47" s="226">
        <v>0</v>
      </c>
      <c r="D47" s="226">
        <v>0</v>
      </c>
      <c r="E47" s="226">
        <v>0</v>
      </c>
      <c r="F47" s="166">
        <v>0</v>
      </c>
      <c r="G47" s="241">
        <v>0</v>
      </c>
      <c r="H47" s="242">
        <v>0</v>
      </c>
    </row>
    <row r="48" spans="1:8" ht="15.75" x14ac:dyDescent="0.25">
      <c r="A48" s="19"/>
      <c r="B48" s="165">
        <f>DATE(23,5,1)</f>
        <v>8522</v>
      </c>
      <c r="C48" s="226">
        <v>0</v>
      </c>
      <c r="D48" s="226">
        <v>0</v>
      </c>
      <c r="E48" s="226">
        <v>0</v>
      </c>
      <c r="F48" s="166">
        <v>0</v>
      </c>
      <c r="G48" s="241">
        <v>0</v>
      </c>
      <c r="H48" s="242">
        <v>0</v>
      </c>
    </row>
    <row r="49" spans="1:8" ht="15.75" thickBot="1" x14ac:dyDescent="0.25">
      <c r="A49" s="167"/>
      <c r="B49" s="165"/>
      <c r="C49" s="226"/>
      <c r="D49" s="226"/>
      <c r="E49" s="226"/>
      <c r="F49" s="166"/>
      <c r="G49" s="241"/>
      <c r="H49" s="242"/>
    </row>
    <row r="50" spans="1:8" ht="17.25" thickTop="1" thickBot="1" x14ac:dyDescent="0.3">
      <c r="A50" s="174" t="s">
        <v>14</v>
      </c>
      <c r="B50" s="175"/>
      <c r="C50" s="228">
        <f>SUM(C38:C49)</f>
        <v>0</v>
      </c>
      <c r="D50" s="228">
        <f>SUM(D38:D49)</f>
        <v>0</v>
      </c>
      <c r="E50" s="228">
        <f>SUM(E38:E49)</f>
        <v>0</v>
      </c>
      <c r="F50" s="176">
        <v>0</v>
      </c>
      <c r="G50" s="245">
        <v>0</v>
      </c>
      <c r="H50" s="246">
        <v>0</v>
      </c>
    </row>
    <row r="51" spans="1:8" ht="15.75" thickTop="1" x14ac:dyDescent="0.2">
      <c r="A51" s="167"/>
      <c r="B51" s="168"/>
      <c r="C51" s="226"/>
      <c r="D51" s="226"/>
      <c r="E51" s="226"/>
      <c r="F51" s="166"/>
      <c r="G51" s="241"/>
      <c r="H51" s="242"/>
    </row>
    <row r="52" spans="1:8" ht="15.75" x14ac:dyDescent="0.25">
      <c r="A52" s="177" t="s">
        <v>58</v>
      </c>
      <c r="B52" s="165">
        <f>DATE(22,7,1)</f>
        <v>8218</v>
      </c>
      <c r="C52" s="226">
        <v>3178065.75</v>
      </c>
      <c r="D52" s="226">
        <v>133555.04</v>
      </c>
      <c r="E52" s="226">
        <v>0</v>
      </c>
      <c r="F52" s="166">
        <v>1</v>
      </c>
      <c r="G52" s="241">
        <f t="shared" ref="G52:G58" si="0">+D52/C52</f>
        <v>4.2024001548740773E-2</v>
      </c>
      <c r="H52" s="289">
        <f t="shared" ref="H52:H58" si="1">1-G52</f>
        <v>0.95797599845125925</v>
      </c>
    </row>
    <row r="53" spans="1:8" ht="15.75" x14ac:dyDescent="0.25">
      <c r="A53" s="177"/>
      <c r="B53" s="165">
        <f>DATE(22,8,1)</f>
        <v>8249</v>
      </c>
      <c r="C53" s="226">
        <v>3240013.32</v>
      </c>
      <c r="D53" s="226">
        <v>183477.77</v>
      </c>
      <c r="E53" s="226">
        <v>0</v>
      </c>
      <c r="F53" s="166">
        <v>1</v>
      </c>
      <c r="G53" s="241">
        <f t="shared" si="0"/>
        <v>5.662870855111176E-2</v>
      </c>
      <c r="H53" s="289">
        <f t="shared" si="1"/>
        <v>0.94337129144888821</v>
      </c>
    </row>
    <row r="54" spans="1:8" ht="15.75" x14ac:dyDescent="0.25">
      <c r="A54" s="177"/>
      <c r="B54" s="165">
        <f>DATE(22,9,1)</f>
        <v>8280</v>
      </c>
      <c r="C54" s="226">
        <v>3318547.55</v>
      </c>
      <c r="D54" s="226">
        <v>155342.66</v>
      </c>
      <c r="E54" s="226">
        <v>0</v>
      </c>
      <c r="F54" s="166">
        <v>1</v>
      </c>
      <c r="G54" s="241">
        <f t="shared" si="0"/>
        <v>4.6810436692401772E-2</v>
      </c>
      <c r="H54" s="289">
        <f t="shared" si="1"/>
        <v>0.95318956330759819</v>
      </c>
    </row>
    <row r="55" spans="1:8" ht="15.75" x14ac:dyDescent="0.25">
      <c r="A55" s="177"/>
      <c r="B55" s="165">
        <f>DATE(22,10,1)</f>
        <v>8310</v>
      </c>
      <c r="C55" s="226">
        <v>2155526.5299999998</v>
      </c>
      <c r="D55" s="226">
        <v>95342.11</v>
      </c>
      <c r="E55" s="226">
        <v>0</v>
      </c>
      <c r="F55" s="166">
        <v>1</v>
      </c>
      <c r="G55" s="241">
        <f t="shared" si="0"/>
        <v>4.4231471370477636E-2</v>
      </c>
      <c r="H55" s="289">
        <f t="shared" si="1"/>
        <v>0.95576852862952233</v>
      </c>
    </row>
    <row r="56" spans="1:8" ht="15.75" x14ac:dyDescent="0.25">
      <c r="A56" s="177"/>
      <c r="B56" s="165">
        <f>DATE(22,11,1)</f>
        <v>8341</v>
      </c>
      <c r="C56" s="226">
        <v>2999410.04</v>
      </c>
      <c r="D56" s="226">
        <v>123201.53</v>
      </c>
      <c r="E56" s="226">
        <v>0</v>
      </c>
      <c r="F56" s="166">
        <v>1</v>
      </c>
      <c r="G56" s="241">
        <f t="shared" si="0"/>
        <v>4.1075254252332903E-2</v>
      </c>
      <c r="H56" s="289">
        <f t="shared" si="1"/>
        <v>0.95892474574766706</v>
      </c>
    </row>
    <row r="57" spans="1:8" ht="15.75" x14ac:dyDescent="0.25">
      <c r="A57" s="177"/>
      <c r="B57" s="165">
        <f>DATE(22,12,1)</f>
        <v>8371</v>
      </c>
      <c r="C57" s="226">
        <v>3580735.96</v>
      </c>
      <c r="D57" s="226">
        <v>124084.02</v>
      </c>
      <c r="E57" s="226">
        <v>0</v>
      </c>
      <c r="F57" s="166">
        <v>1</v>
      </c>
      <c r="G57" s="241">
        <f t="shared" si="0"/>
        <v>3.4653216932532496E-2</v>
      </c>
      <c r="H57" s="289">
        <f t="shared" si="1"/>
        <v>0.96534678306746746</v>
      </c>
    </row>
    <row r="58" spans="1:8" ht="15.75" x14ac:dyDescent="0.25">
      <c r="A58" s="177"/>
      <c r="B58" s="165">
        <f>DATE(23,1,1)</f>
        <v>8402</v>
      </c>
      <c r="C58" s="226">
        <v>811007.52</v>
      </c>
      <c r="D58" s="226">
        <v>43801.09</v>
      </c>
      <c r="E58" s="226">
        <v>0</v>
      </c>
      <c r="F58" s="166">
        <v>1</v>
      </c>
      <c r="G58" s="241">
        <f t="shared" si="0"/>
        <v>5.4008241501879037E-2</v>
      </c>
      <c r="H58" s="289">
        <f t="shared" si="1"/>
        <v>0.945991758498121</v>
      </c>
    </row>
    <row r="59" spans="1:8" ht="15.75" x14ac:dyDescent="0.25">
      <c r="A59" s="177"/>
      <c r="B59" s="165">
        <f>DATE(23,2,1)</f>
        <v>8433</v>
      </c>
      <c r="C59" s="226">
        <v>0</v>
      </c>
      <c r="D59" s="226">
        <v>0</v>
      </c>
      <c r="E59" s="226">
        <v>0</v>
      </c>
      <c r="F59" s="166">
        <v>0</v>
      </c>
      <c r="G59" s="241">
        <v>0</v>
      </c>
      <c r="H59" s="289">
        <v>0</v>
      </c>
    </row>
    <row r="60" spans="1:8" ht="15.75" x14ac:dyDescent="0.25">
      <c r="A60" s="177"/>
      <c r="B60" s="165">
        <f>DATE(23,3,1)</f>
        <v>8461</v>
      </c>
      <c r="C60" s="226">
        <v>0</v>
      </c>
      <c r="D60" s="226">
        <v>0</v>
      </c>
      <c r="E60" s="226">
        <v>0</v>
      </c>
      <c r="F60" s="166">
        <v>0</v>
      </c>
      <c r="G60" s="241">
        <v>0</v>
      </c>
      <c r="H60" s="289">
        <v>0</v>
      </c>
    </row>
    <row r="61" spans="1:8" ht="15.75" x14ac:dyDescent="0.25">
      <c r="A61" s="177"/>
      <c r="B61" s="165">
        <f>DATE(23,4,1)</f>
        <v>8492</v>
      </c>
      <c r="C61" s="226">
        <v>0</v>
      </c>
      <c r="D61" s="226">
        <v>0</v>
      </c>
      <c r="E61" s="226">
        <v>0</v>
      </c>
      <c r="F61" s="166">
        <v>0</v>
      </c>
      <c r="G61" s="241">
        <v>0</v>
      </c>
      <c r="H61" s="289">
        <v>0</v>
      </c>
    </row>
    <row r="62" spans="1:8" ht="15.75" x14ac:dyDescent="0.25">
      <c r="A62" s="177"/>
      <c r="B62" s="165">
        <f>DATE(23,5,1)</f>
        <v>8522</v>
      </c>
      <c r="C62" s="226">
        <v>0</v>
      </c>
      <c r="D62" s="226">
        <v>0</v>
      </c>
      <c r="E62" s="226">
        <v>0</v>
      </c>
      <c r="F62" s="166">
        <v>0</v>
      </c>
      <c r="G62" s="241">
        <v>0</v>
      </c>
      <c r="H62" s="289">
        <v>0</v>
      </c>
    </row>
    <row r="63" spans="1:8" ht="15.75" thickBot="1" x14ac:dyDescent="0.25">
      <c r="A63" s="167"/>
      <c r="B63" s="168"/>
      <c r="C63" s="226"/>
      <c r="D63" s="226"/>
      <c r="E63" s="226"/>
      <c r="F63" s="166"/>
      <c r="G63" s="241"/>
      <c r="H63" s="242"/>
    </row>
    <row r="64" spans="1:8" ht="17.25" thickTop="1" thickBot="1" x14ac:dyDescent="0.3">
      <c r="A64" s="174" t="s">
        <v>14</v>
      </c>
      <c r="B64" s="178"/>
      <c r="C64" s="228">
        <f>SUM(C52:C63)</f>
        <v>19283306.670000002</v>
      </c>
      <c r="D64" s="228">
        <f>SUM(D52:D63)</f>
        <v>858804.22</v>
      </c>
      <c r="E64" s="228">
        <f>SUM(E52:E63)</f>
        <v>0</v>
      </c>
      <c r="F64" s="176">
        <v>1</v>
      </c>
      <c r="G64" s="245">
        <f>+D64/C64</f>
        <v>4.4536149048341606E-2</v>
      </c>
      <c r="H64" s="246">
        <f>1-G64</f>
        <v>0.95546385095165842</v>
      </c>
    </row>
    <row r="65" spans="1:8" ht="15.75" thickTop="1" x14ac:dyDescent="0.2">
      <c r="A65" s="167"/>
      <c r="B65" s="168"/>
      <c r="C65" s="226"/>
      <c r="D65" s="226"/>
      <c r="E65" s="226"/>
      <c r="F65" s="166"/>
      <c r="G65" s="241"/>
      <c r="H65" s="242"/>
    </row>
    <row r="66" spans="1:8" ht="15.75" x14ac:dyDescent="0.25">
      <c r="A66" s="164" t="s">
        <v>60</v>
      </c>
      <c r="B66" s="165">
        <f>DATE(22,7,1)</f>
        <v>8218</v>
      </c>
      <c r="C66" s="226">
        <v>0</v>
      </c>
      <c r="D66" s="226">
        <v>0</v>
      </c>
      <c r="E66" s="226">
        <v>0</v>
      </c>
      <c r="F66" s="166">
        <v>0</v>
      </c>
      <c r="G66" s="241">
        <v>0</v>
      </c>
      <c r="H66" s="242">
        <v>0</v>
      </c>
    </row>
    <row r="67" spans="1:8" ht="15.75" x14ac:dyDescent="0.25">
      <c r="A67" s="164"/>
      <c r="B67" s="165">
        <f>DATE(22,8,1)</f>
        <v>8249</v>
      </c>
      <c r="C67" s="226">
        <v>0</v>
      </c>
      <c r="D67" s="226">
        <v>0</v>
      </c>
      <c r="E67" s="226">
        <v>0</v>
      </c>
      <c r="F67" s="166">
        <v>0</v>
      </c>
      <c r="G67" s="241">
        <v>0</v>
      </c>
      <c r="H67" s="242">
        <v>0</v>
      </c>
    </row>
    <row r="68" spans="1:8" ht="15.75" x14ac:dyDescent="0.25">
      <c r="A68" s="164"/>
      <c r="B68" s="165">
        <f>DATE(22,9,1)</f>
        <v>8280</v>
      </c>
      <c r="C68" s="226">
        <v>0</v>
      </c>
      <c r="D68" s="226">
        <v>0</v>
      </c>
      <c r="E68" s="226">
        <v>0</v>
      </c>
      <c r="F68" s="166">
        <v>0</v>
      </c>
      <c r="G68" s="241">
        <v>0</v>
      </c>
      <c r="H68" s="242">
        <v>0</v>
      </c>
    </row>
    <row r="69" spans="1:8" ht="15.75" x14ac:dyDescent="0.25">
      <c r="A69" s="164"/>
      <c r="B69" s="165">
        <f>DATE(22,10,1)</f>
        <v>8310</v>
      </c>
      <c r="C69" s="226">
        <v>0</v>
      </c>
      <c r="D69" s="226">
        <v>0</v>
      </c>
      <c r="E69" s="226">
        <v>0</v>
      </c>
      <c r="F69" s="166">
        <v>0</v>
      </c>
      <c r="G69" s="241">
        <v>0</v>
      </c>
      <c r="H69" s="242">
        <v>0</v>
      </c>
    </row>
    <row r="70" spans="1:8" ht="15.75" x14ac:dyDescent="0.25">
      <c r="A70" s="164"/>
      <c r="B70" s="165">
        <f>DATE(22,11,1)</f>
        <v>8341</v>
      </c>
      <c r="C70" s="226">
        <v>0</v>
      </c>
      <c r="D70" s="226">
        <v>0</v>
      </c>
      <c r="E70" s="226">
        <v>0</v>
      </c>
      <c r="F70" s="166">
        <v>0</v>
      </c>
      <c r="G70" s="241">
        <v>0</v>
      </c>
      <c r="H70" s="242">
        <v>0</v>
      </c>
    </row>
    <row r="71" spans="1:8" ht="15.75" x14ac:dyDescent="0.25">
      <c r="A71" s="164"/>
      <c r="B71" s="165">
        <f>DATE(22,12,1)</f>
        <v>8371</v>
      </c>
      <c r="C71" s="226">
        <v>0</v>
      </c>
      <c r="D71" s="226">
        <v>0</v>
      </c>
      <c r="E71" s="226">
        <v>0</v>
      </c>
      <c r="F71" s="166">
        <v>0</v>
      </c>
      <c r="G71" s="241">
        <v>0</v>
      </c>
      <c r="H71" s="242">
        <v>0</v>
      </c>
    </row>
    <row r="72" spans="1:8" ht="15.75" x14ac:dyDescent="0.25">
      <c r="A72" s="164"/>
      <c r="B72" s="165">
        <f>DATE(23,1,1)</f>
        <v>8402</v>
      </c>
      <c r="C72" s="226">
        <v>0</v>
      </c>
      <c r="D72" s="226">
        <v>0</v>
      </c>
      <c r="E72" s="226">
        <v>0</v>
      </c>
      <c r="F72" s="166">
        <v>0</v>
      </c>
      <c r="G72" s="241">
        <v>0</v>
      </c>
      <c r="H72" s="242">
        <v>0</v>
      </c>
    </row>
    <row r="73" spans="1:8" ht="15.75" x14ac:dyDescent="0.25">
      <c r="A73" s="164"/>
      <c r="B73" s="165">
        <f>DATE(23,2,1)</f>
        <v>8433</v>
      </c>
      <c r="C73" s="226">
        <v>0</v>
      </c>
      <c r="D73" s="226">
        <v>0</v>
      </c>
      <c r="E73" s="226">
        <v>0</v>
      </c>
      <c r="F73" s="166">
        <v>0</v>
      </c>
      <c r="G73" s="241">
        <v>0</v>
      </c>
      <c r="H73" s="242">
        <v>0</v>
      </c>
    </row>
    <row r="74" spans="1:8" ht="15.75" x14ac:dyDescent="0.25">
      <c r="A74" s="164"/>
      <c r="B74" s="165">
        <f>DATE(23,3,1)</f>
        <v>8461</v>
      </c>
      <c r="C74" s="226">
        <v>0</v>
      </c>
      <c r="D74" s="226">
        <v>0</v>
      </c>
      <c r="E74" s="226">
        <v>0</v>
      </c>
      <c r="F74" s="166">
        <v>0</v>
      </c>
      <c r="G74" s="241">
        <v>0</v>
      </c>
      <c r="H74" s="242">
        <v>0</v>
      </c>
    </row>
    <row r="75" spans="1:8" ht="15.75" x14ac:dyDescent="0.25">
      <c r="A75" s="164"/>
      <c r="B75" s="165">
        <f>DATE(23,4,1)</f>
        <v>8492</v>
      </c>
      <c r="C75" s="226">
        <v>0</v>
      </c>
      <c r="D75" s="226">
        <v>0</v>
      </c>
      <c r="E75" s="226">
        <v>0</v>
      </c>
      <c r="F75" s="166">
        <v>0</v>
      </c>
      <c r="G75" s="241">
        <v>0</v>
      </c>
      <c r="H75" s="242">
        <v>0</v>
      </c>
    </row>
    <row r="76" spans="1:8" ht="15.75" x14ac:dyDescent="0.25">
      <c r="A76" s="164"/>
      <c r="B76" s="165">
        <f>DATE(23,5,1)</f>
        <v>8522</v>
      </c>
      <c r="C76" s="226">
        <v>0</v>
      </c>
      <c r="D76" s="226">
        <v>0</v>
      </c>
      <c r="E76" s="226">
        <v>0</v>
      </c>
      <c r="F76" s="166">
        <v>0</v>
      </c>
      <c r="G76" s="241">
        <v>0</v>
      </c>
      <c r="H76" s="242">
        <v>0</v>
      </c>
    </row>
    <row r="77" spans="1:8" ht="15.75" thickBot="1" x14ac:dyDescent="0.25">
      <c r="A77" s="167"/>
      <c r="B77" s="165"/>
      <c r="C77" s="226"/>
      <c r="D77" s="226"/>
      <c r="E77" s="226"/>
      <c r="F77" s="166"/>
      <c r="G77" s="241"/>
      <c r="H77" s="242"/>
    </row>
    <row r="78" spans="1:8" ht="17.25" thickTop="1" thickBot="1" x14ac:dyDescent="0.3">
      <c r="A78" s="174" t="s">
        <v>14</v>
      </c>
      <c r="B78" s="175"/>
      <c r="C78" s="228">
        <f>SUM(C66:C77)</f>
        <v>0</v>
      </c>
      <c r="D78" s="230">
        <f>SUM(D66:D77)</f>
        <v>0</v>
      </c>
      <c r="E78" s="271">
        <f>SUM(E66:E77)</f>
        <v>0</v>
      </c>
      <c r="F78" s="176">
        <v>0</v>
      </c>
      <c r="G78" s="245">
        <v>0</v>
      </c>
      <c r="H78" s="246">
        <v>0</v>
      </c>
    </row>
    <row r="79" spans="1:8" ht="15.75" thickTop="1" x14ac:dyDescent="0.2">
      <c r="A79" s="167"/>
      <c r="B79" s="168"/>
      <c r="C79" s="226"/>
      <c r="D79" s="226"/>
      <c r="E79" s="226"/>
      <c r="F79" s="166"/>
      <c r="G79" s="241"/>
      <c r="H79" s="242"/>
    </row>
    <row r="80" spans="1:8" ht="15.75" x14ac:dyDescent="0.25">
      <c r="A80" s="164" t="s">
        <v>64</v>
      </c>
      <c r="B80" s="165">
        <f>DATE(22,7,1)</f>
        <v>8218</v>
      </c>
      <c r="C80" s="226">
        <v>0</v>
      </c>
      <c r="D80" s="226">
        <v>0</v>
      </c>
      <c r="E80" s="226">
        <v>0</v>
      </c>
      <c r="F80" s="166">
        <v>0</v>
      </c>
      <c r="G80" s="241">
        <v>0</v>
      </c>
      <c r="H80" s="242">
        <v>0</v>
      </c>
    </row>
    <row r="81" spans="1:8" ht="15.75" x14ac:dyDescent="0.25">
      <c r="A81" s="164"/>
      <c r="B81" s="165">
        <f>DATE(22,8,1)</f>
        <v>8249</v>
      </c>
      <c r="C81" s="226">
        <v>0</v>
      </c>
      <c r="D81" s="226">
        <v>0</v>
      </c>
      <c r="E81" s="226">
        <v>0</v>
      </c>
      <c r="F81" s="166">
        <v>0</v>
      </c>
      <c r="G81" s="241">
        <v>0</v>
      </c>
      <c r="H81" s="242">
        <v>0</v>
      </c>
    </row>
    <row r="82" spans="1:8" ht="15.75" x14ac:dyDescent="0.25">
      <c r="A82" s="164"/>
      <c r="B82" s="165">
        <f>DATE(22,9,1)</f>
        <v>8280</v>
      </c>
      <c r="C82" s="226">
        <v>0</v>
      </c>
      <c r="D82" s="226">
        <v>0</v>
      </c>
      <c r="E82" s="226">
        <v>0</v>
      </c>
      <c r="F82" s="166">
        <v>0</v>
      </c>
      <c r="G82" s="241">
        <v>0</v>
      </c>
      <c r="H82" s="242">
        <v>0</v>
      </c>
    </row>
    <row r="83" spans="1:8" ht="15.75" x14ac:dyDescent="0.25">
      <c r="A83" s="164"/>
      <c r="B83" s="165">
        <f>DATE(22,10,1)</f>
        <v>8310</v>
      </c>
      <c r="C83" s="226">
        <v>0</v>
      </c>
      <c r="D83" s="226">
        <v>0</v>
      </c>
      <c r="E83" s="226">
        <v>0</v>
      </c>
      <c r="F83" s="166">
        <v>0</v>
      </c>
      <c r="G83" s="241">
        <v>0</v>
      </c>
      <c r="H83" s="242">
        <v>0</v>
      </c>
    </row>
    <row r="84" spans="1:8" ht="15.75" x14ac:dyDescent="0.25">
      <c r="A84" s="164"/>
      <c r="B84" s="165">
        <f>DATE(22,11,1)</f>
        <v>8341</v>
      </c>
      <c r="C84" s="226">
        <v>0</v>
      </c>
      <c r="D84" s="226">
        <v>0</v>
      </c>
      <c r="E84" s="226">
        <v>0</v>
      </c>
      <c r="F84" s="166">
        <v>0</v>
      </c>
      <c r="G84" s="241">
        <v>0</v>
      </c>
      <c r="H84" s="242">
        <v>0</v>
      </c>
    </row>
    <row r="85" spans="1:8" ht="15.75" x14ac:dyDescent="0.25">
      <c r="A85" s="164"/>
      <c r="B85" s="165">
        <f>DATE(22,12,1)</f>
        <v>8371</v>
      </c>
      <c r="C85" s="226">
        <v>0</v>
      </c>
      <c r="D85" s="226">
        <v>0</v>
      </c>
      <c r="E85" s="226">
        <v>0</v>
      </c>
      <c r="F85" s="166">
        <v>0</v>
      </c>
      <c r="G85" s="241">
        <v>0</v>
      </c>
      <c r="H85" s="242">
        <v>0</v>
      </c>
    </row>
    <row r="86" spans="1:8" ht="15.75" x14ac:dyDescent="0.25">
      <c r="A86" s="164"/>
      <c r="B86" s="165">
        <f>DATE(23,1,1)</f>
        <v>8402</v>
      </c>
      <c r="C86" s="226">
        <v>0</v>
      </c>
      <c r="D86" s="226">
        <v>0</v>
      </c>
      <c r="E86" s="226">
        <v>0</v>
      </c>
      <c r="F86" s="166">
        <v>0</v>
      </c>
      <c r="G86" s="241">
        <v>0</v>
      </c>
      <c r="H86" s="242">
        <v>0</v>
      </c>
    </row>
    <row r="87" spans="1:8" ht="15.75" x14ac:dyDescent="0.25">
      <c r="A87" s="164"/>
      <c r="B87" s="165">
        <f>DATE(23,2,1)</f>
        <v>8433</v>
      </c>
      <c r="C87" s="226">
        <v>0</v>
      </c>
      <c r="D87" s="226">
        <v>0</v>
      </c>
      <c r="E87" s="226">
        <v>0</v>
      </c>
      <c r="F87" s="166">
        <v>0</v>
      </c>
      <c r="G87" s="241">
        <v>0</v>
      </c>
      <c r="H87" s="242">
        <v>0</v>
      </c>
    </row>
    <row r="88" spans="1:8" ht="15.75" x14ac:dyDescent="0.25">
      <c r="A88" s="164"/>
      <c r="B88" s="165">
        <f>DATE(23,3,1)</f>
        <v>8461</v>
      </c>
      <c r="C88" s="226">
        <v>0</v>
      </c>
      <c r="D88" s="226">
        <v>0</v>
      </c>
      <c r="E88" s="226">
        <v>0</v>
      </c>
      <c r="F88" s="166">
        <v>0</v>
      </c>
      <c r="G88" s="241">
        <v>0</v>
      </c>
      <c r="H88" s="242">
        <v>0</v>
      </c>
    </row>
    <row r="89" spans="1:8" ht="15.75" x14ac:dyDescent="0.25">
      <c r="A89" s="164"/>
      <c r="B89" s="165">
        <f>DATE(23,4,1)</f>
        <v>8492</v>
      </c>
      <c r="C89" s="226">
        <v>0</v>
      </c>
      <c r="D89" s="226">
        <v>0</v>
      </c>
      <c r="E89" s="226">
        <v>0</v>
      </c>
      <c r="F89" s="166">
        <v>0</v>
      </c>
      <c r="G89" s="241">
        <v>0</v>
      </c>
      <c r="H89" s="242">
        <v>0</v>
      </c>
    </row>
    <row r="90" spans="1:8" ht="15.75" x14ac:dyDescent="0.25">
      <c r="A90" s="164"/>
      <c r="B90" s="165">
        <f>DATE(23,5,1)</f>
        <v>8522</v>
      </c>
      <c r="C90" s="226">
        <v>0</v>
      </c>
      <c r="D90" s="226">
        <v>0</v>
      </c>
      <c r="E90" s="226">
        <v>0</v>
      </c>
      <c r="F90" s="166">
        <v>0</v>
      </c>
      <c r="G90" s="241">
        <v>0</v>
      </c>
      <c r="H90" s="242">
        <v>0</v>
      </c>
    </row>
    <row r="91" spans="1:8" ht="15.75" thickBot="1" x14ac:dyDescent="0.25">
      <c r="A91" s="167"/>
      <c r="B91" s="165"/>
      <c r="C91" s="226"/>
      <c r="D91" s="226"/>
      <c r="E91" s="226"/>
      <c r="F91" s="166"/>
      <c r="G91" s="241"/>
      <c r="H91" s="242"/>
    </row>
    <row r="92" spans="1:8" ht="17.25" thickTop="1" thickBot="1" x14ac:dyDescent="0.3">
      <c r="A92" s="174" t="s">
        <v>14</v>
      </c>
      <c r="B92" s="175"/>
      <c r="C92" s="228">
        <f>SUM(C80:C91)</f>
        <v>0</v>
      </c>
      <c r="D92" s="230">
        <f>SUM(D80:D91)</f>
        <v>0</v>
      </c>
      <c r="E92" s="271">
        <f>SUM(E80:E91)</f>
        <v>0</v>
      </c>
      <c r="F92" s="176">
        <v>0</v>
      </c>
      <c r="G92" s="245">
        <v>0</v>
      </c>
      <c r="H92" s="246">
        <v>0</v>
      </c>
    </row>
    <row r="93" spans="1:8" ht="15.75" thickTop="1" x14ac:dyDescent="0.2">
      <c r="A93" s="167"/>
      <c r="B93" s="168"/>
      <c r="C93" s="226"/>
      <c r="D93" s="226"/>
      <c r="E93" s="226"/>
      <c r="F93" s="166"/>
      <c r="G93" s="241"/>
      <c r="H93" s="242"/>
    </row>
    <row r="94" spans="1:8" ht="15.75" x14ac:dyDescent="0.25">
      <c r="A94" s="164" t="s">
        <v>67</v>
      </c>
      <c r="B94" s="165">
        <f>DATE(22,7,1)</f>
        <v>8218</v>
      </c>
      <c r="C94" s="226">
        <v>0</v>
      </c>
      <c r="D94" s="226">
        <v>0</v>
      </c>
      <c r="E94" s="226">
        <v>0</v>
      </c>
      <c r="F94" s="166">
        <v>0</v>
      </c>
      <c r="G94" s="241">
        <v>0</v>
      </c>
      <c r="H94" s="242">
        <v>0</v>
      </c>
    </row>
    <row r="95" spans="1:8" ht="15.75" x14ac:dyDescent="0.25">
      <c r="A95" s="164"/>
      <c r="B95" s="165">
        <f>DATE(22,8,1)</f>
        <v>8249</v>
      </c>
      <c r="C95" s="226">
        <v>0</v>
      </c>
      <c r="D95" s="226">
        <v>0</v>
      </c>
      <c r="E95" s="226">
        <v>0</v>
      </c>
      <c r="F95" s="166">
        <v>0</v>
      </c>
      <c r="G95" s="241">
        <v>0</v>
      </c>
      <c r="H95" s="242">
        <v>0</v>
      </c>
    </row>
    <row r="96" spans="1:8" ht="15.75" x14ac:dyDescent="0.25">
      <c r="A96" s="164"/>
      <c r="B96" s="165">
        <f>DATE(22,9,1)</f>
        <v>8280</v>
      </c>
      <c r="C96" s="226">
        <v>0</v>
      </c>
      <c r="D96" s="226">
        <v>0</v>
      </c>
      <c r="E96" s="226">
        <v>0</v>
      </c>
      <c r="F96" s="166">
        <v>0</v>
      </c>
      <c r="G96" s="241">
        <v>0</v>
      </c>
      <c r="H96" s="242">
        <v>0</v>
      </c>
    </row>
    <row r="97" spans="1:8" ht="15.75" x14ac:dyDescent="0.25">
      <c r="A97" s="164"/>
      <c r="B97" s="165">
        <f>DATE(22,10,1)</f>
        <v>8310</v>
      </c>
      <c r="C97" s="226">
        <v>0</v>
      </c>
      <c r="D97" s="226">
        <v>0</v>
      </c>
      <c r="E97" s="226">
        <v>0</v>
      </c>
      <c r="F97" s="166">
        <v>0</v>
      </c>
      <c r="G97" s="241">
        <v>0</v>
      </c>
      <c r="H97" s="242">
        <v>0</v>
      </c>
    </row>
    <row r="98" spans="1:8" ht="15.75" x14ac:dyDescent="0.25">
      <c r="A98" s="164"/>
      <c r="B98" s="165">
        <f>DATE(22,11,1)</f>
        <v>8341</v>
      </c>
      <c r="C98" s="226">
        <v>0</v>
      </c>
      <c r="D98" s="226">
        <v>0</v>
      </c>
      <c r="E98" s="226">
        <v>0</v>
      </c>
      <c r="F98" s="166">
        <v>0</v>
      </c>
      <c r="G98" s="241">
        <v>0</v>
      </c>
      <c r="H98" s="242">
        <v>0</v>
      </c>
    </row>
    <row r="99" spans="1:8" ht="15.75" x14ac:dyDescent="0.25">
      <c r="A99" s="164"/>
      <c r="B99" s="165">
        <f>DATE(22,12,1)</f>
        <v>8371</v>
      </c>
      <c r="C99" s="226">
        <v>0</v>
      </c>
      <c r="D99" s="226">
        <v>0</v>
      </c>
      <c r="E99" s="226">
        <v>0</v>
      </c>
      <c r="F99" s="166">
        <v>0</v>
      </c>
      <c r="G99" s="241">
        <v>0</v>
      </c>
      <c r="H99" s="242">
        <v>0</v>
      </c>
    </row>
    <row r="100" spans="1:8" ht="15.75" x14ac:dyDescent="0.25">
      <c r="A100" s="164"/>
      <c r="B100" s="165">
        <f>DATE(23,1,1)</f>
        <v>8402</v>
      </c>
      <c r="C100" s="226">
        <v>0</v>
      </c>
      <c r="D100" s="226">
        <v>0</v>
      </c>
      <c r="E100" s="226">
        <v>0</v>
      </c>
      <c r="F100" s="166">
        <v>0</v>
      </c>
      <c r="G100" s="241">
        <v>0</v>
      </c>
      <c r="H100" s="242">
        <v>0</v>
      </c>
    </row>
    <row r="101" spans="1:8" ht="15.75" x14ac:dyDescent="0.25">
      <c r="A101" s="164"/>
      <c r="B101" s="165">
        <f>DATE(23,2,1)</f>
        <v>8433</v>
      </c>
      <c r="C101" s="226">
        <v>0</v>
      </c>
      <c r="D101" s="226">
        <v>0</v>
      </c>
      <c r="E101" s="226">
        <v>0</v>
      </c>
      <c r="F101" s="166">
        <v>0</v>
      </c>
      <c r="G101" s="241">
        <v>0</v>
      </c>
      <c r="H101" s="242">
        <v>0</v>
      </c>
    </row>
    <row r="102" spans="1:8" ht="15.75" x14ac:dyDescent="0.25">
      <c r="A102" s="164"/>
      <c r="B102" s="165">
        <f>DATE(23,3,1)</f>
        <v>8461</v>
      </c>
      <c r="C102" s="226">
        <v>0</v>
      </c>
      <c r="D102" s="226">
        <v>0</v>
      </c>
      <c r="E102" s="226">
        <v>0</v>
      </c>
      <c r="F102" s="166">
        <v>0</v>
      </c>
      <c r="G102" s="241">
        <v>0</v>
      </c>
      <c r="H102" s="242">
        <v>0</v>
      </c>
    </row>
    <row r="103" spans="1:8" ht="15.75" x14ac:dyDescent="0.25">
      <c r="A103" s="164"/>
      <c r="B103" s="165">
        <f>DATE(23,4,1)</f>
        <v>8492</v>
      </c>
      <c r="C103" s="226">
        <v>0</v>
      </c>
      <c r="D103" s="226">
        <v>0</v>
      </c>
      <c r="E103" s="226">
        <v>0</v>
      </c>
      <c r="F103" s="166">
        <v>0</v>
      </c>
      <c r="G103" s="241">
        <v>0</v>
      </c>
      <c r="H103" s="242">
        <v>0</v>
      </c>
    </row>
    <row r="104" spans="1:8" ht="15.75" x14ac:dyDescent="0.25">
      <c r="A104" s="164"/>
      <c r="B104" s="165">
        <f>DATE(23,5,1)</f>
        <v>8522</v>
      </c>
      <c r="C104" s="226">
        <v>0</v>
      </c>
      <c r="D104" s="226">
        <v>0</v>
      </c>
      <c r="E104" s="226">
        <v>0</v>
      </c>
      <c r="F104" s="166">
        <v>0</v>
      </c>
      <c r="G104" s="241">
        <v>0</v>
      </c>
      <c r="H104" s="242">
        <v>0</v>
      </c>
    </row>
    <row r="105" spans="1:8" ht="15.75" thickBot="1" x14ac:dyDescent="0.25">
      <c r="A105" s="167"/>
      <c r="B105" s="165"/>
      <c r="C105" s="226"/>
      <c r="D105" s="226"/>
      <c r="E105" s="226"/>
      <c r="F105" s="166"/>
      <c r="G105" s="241"/>
      <c r="H105" s="242"/>
    </row>
    <row r="106" spans="1:8" ht="17.25" thickTop="1" thickBot="1" x14ac:dyDescent="0.3">
      <c r="A106" s="174" t="s">
        <v>14</v>
      </c>
      <c r="B106" s="175"/>
      <c r="C106" s="228">
        <f>SUM(C94:C105)</f>
        <v>0</v>
      </c>
      <c r="D106" s="230">
        <f>SUM(D94:D105)</f>
        <v>0</v>
      </c>
      <c r="E106" s="271">
        <f>SUM(E94:E105)</f>
        <v>0</v>
      </c>
      <c r="F106" s="176">
        <v>0</v>
      </c>
      <c r="G106" s="245">
        <v>0</v>
      </c>
      <c r="H106" s="246">
        <v>0</v>
      </c>
    </row>
    <row r="107" spans="1:8" ht="15.75" thickTop="1" x14ac:dyDescent="0.2">
      <c r="A107" s="167"/>
      <c r="B107" s="168"/>
      <c r="C107" s="226"/>
      <c r="D107" s="226"/>
      <c r="E107" s="226"/>
      <c r="F107" s="166"/>
      <c r="G107" s="241"/>
      <c r="H107" s="242"/>
    </row>
    <row r="108" spans="1:8" ht="15.75" x14ac:dyDescent="0.25">
      <c r="A108" s="164" t="s">
        <v>69</v>
      </c>
      <c r="B108" s="165">
        <f>DATE(22,7,1)</f>
        <v>8218</v>
      </c>
      <c r="C108" s="226">
        <v>0</v>
      </c>
      <c r="D108" s="226">
        <v>0</v>
      </c>
      <c r="E108" s="226">
        <v>0</v>
      </c>
      <c r="F108" s="166">
        <v>0</v>
      </c>
      <c r="G108" s="241">
        <v>0</v>
      </c>
      <c r="H108" s="242">
        <v>0</v>
      </c>
    </row>
    <row r="109" spans="1:8" ht="15.75" x14ac:dyDescent="0.25">
      <c r="A109" s="164"/>
      <c r="B109" s="165">
        <f>DATE(22,8,1)</f>
        <v>8249</v>
      </c>
      <c r="C109" s="226">
        <v>0</v>
      </c>
      <c r="D109" s="226">
        <v>0</v>
      </c>
      <c r="E109" s="226">
        <v>0</v>
      </c>
      <c r="F109" s="166">
        <v>0</v>
      </c>
      <c r="G109" s="241">
        <v>0</v>
      </c>
      <c r="H109" s="242">
        <v>0</v>
      </c>
    </row>
    <row r="110" spans="1:8" ht="15.75" x14ac:dyDescent="0.25">
      <c r="A110" s="164"/>
      <c r="B110" s="165">
        <f>DATE(22,9,1)</f>
        <v>8280</v>
      </c>
      <c r="C110" s="226">
        <v>0</v>
      </c>
      <c r="D110" s="226">
        <v>0</v>
      </c>
      <c r="E110" s="226">
        <v>0</v>
      </c>
      <c r="F110" s="166">
        <v>0</v>
      </c>
      <c r="G110" s="241">
        <v>0</v>
      </c>
      <c r="H110" s="242">
        <v>0</v>
      </c>
    </row>
    <row r="111" spans="1:8" ht="15.75" x14ac:dyDescent="0.25">
      <c r="A111" s="164"/>
      <c r="B111" s="165">
        <f>DATE(22,10,1)</f>
        <v>8310</v>
      </c>
      <c r="C111" s="226">
        <v>0</v>
      </c>
      <c r="D111" s="226">
        <v>0</v>
      </c>
      <c r="E111" s="226">
        <v>0</v>
      </c>
      <c r="F111" s="166">
        <v>0</v>
      </c>
      <c r="G111" s="241">
        <v>0</v>
      </c>
      <c r="H111" s="242">
        <v>0</v>
      </c>
    </row>
    <row r="112" spans="1:8" ht="15.75" x14ac:dyDescent="0.25">
      <c r="A112" s="164"/>
      <c r="B112" s="165">
        <f>DATE(22,11,1)</f>
        <v>8341</v>
      </c>
      <c r="C112" s="226">
        <v>0</v>
      </c>
      <c r="D112" s="226">
        <v>0</v>
      </c>
      <c r="E112" s="226">
        <v>0</v>
      </c>
      <c r="F112" s="166">
        <v>0</v>
      </c>
      <c r="G112" s="241">
        <v>0</v>
      </c>
      <c r="H112" s="242">
        <v>0</v>
      </c>
    </row>
    <row r="113" spans="1:8" ht="15.75" x14ac:dyDescent="0.25">
      <c r="A113" s="164"/>
      <c r="B113" s="165">
        <f>DATE(22,12,1)</f>
        <v>8371</v>
      </c>
      <c r="C113" s="226">
        <v>0</v>
      </c>
      <c r="D113" s="226">
        <v>0</v>
      </c>
      <c r="E113" s="226">
        <v>0</v>
      </c>
      <c r="F113" s="166">
        <v>0</v>
      </c>
      <c r="G113" s="241">
        <v>0</v>
      </c>
      <c r="H113" s="242">
        <v>0</v>
      </c>
    </row>
    <row r="114" spans="1:8" ht="15.75" x14ac:dyDescent="0.25">
      <c r="A114" s="164"/>
      <c r="B114" s="165">
        <f>DATE(23,1,1)</f>
        <v>8402</v>
      </c>
      <c r="C114" s="226">
        <v>0</v>
      </c>
      <c r="D114" s="226">
        <v>0</v>
      </c>
      <c r="E114" s="226">
        <v>0</v>
      </c>
      <c r="F114" s="166">
        <v>0</v>
      </c>
      <c r="G114" s="241">
        <v>0</v>
      </c>
      <c r="H114" s="242">
        <v>0</v>
      </c>
    </row>
    <row r="115" spans="1:8" ht="15.75" x14ac:dyDescent="0.25">
      <c r="A115" s="164"/>
      <c r="B115" s="165">
        <f>DATE(23,2,1)</f>
        <v>8433</v>
      </c>
      <c r="C115" s="226">
        <v>0</v>
      </c>
      <c r="D115" s="226">
        <v>0</v>
      </c>
      <c r="E115" s="226">
        <v>0</v>
      </c>
      <c r="F115" s="166">
        <v>0</v>
      </c>
      <c r="G115" s="241">
        <v>0</v>
      </c>
      <c r="H115" s="242">
        <v>0</v>
      </c>
    </row>
    <row r="116" spans="1:8" ht="15.75" x14ac:dyDescent="0.25">
      <c r="A116" s="164"/>
      <c r="B116" s="165">
        <f>DATE(23,3,1)</f>
        <v>8461</v>
      </c>
      <c r="C116" s="226">
        <v>0</v>
      </c>
      <c r="D116" s="226">
        <v>0</v>
      </c>
      <c r="E116" s="226">
        <v>0</v>
      </c>
      <c r="F116" s="166">
        <v>0</v>
      </c>
      <c r="G116" s="241">
        <v>0</v>
      </c>
      <c r="H116" s="242">
        <v>0</v>
      </c>
    </row>
    <row r="117" spans="1:8" ht="15.75" x14ac:dyDescent="0.25">
      <c r="A117" s="164"/>
      <c r="B117" s="165">
        <f>DATE(23,4,1)</f>
        <v>8492</v>
      </c>
      <c r="C117" s="226">
        <v>0</v>
      </c>
      <c r="D117" s="226">
        <v>0</v>
      </c>
      <c r="E117" s="226">
        <v>0</v>
      </c>
      <c r="F117" s="166">
        <v>0</v>
      </c>
      <c r="G117" s="241">
        <v>0</v>
      </c>
      <c r="H117" s="242">
        <v>0</v>
      </c>
    </row>
    <row r="118" spans="1:8" ht="15.75" x14ac:dyDescent="0.25">
      <c r="A118" s="164"/>
      <c r="B118" s="165">
        <f>DATE(23,5,1)</f>
        <v>8522</v>
      </c>
      <c r="C118" s="226">
        <v>0</v>
      </c>
      <c r="D118" s="226">
        <v>0</v>
      </c>
      <c r="E118" s="226">
        <v>0</v>
      </c>
      <c r="F118" s="166">
        <v>0</v>
      </c>
      <c r="G118" s="241">
        <v>0</v>
      </c>
      <c r="H118" s="242">
        <v>0</v>
      </c>
    </row>
    <row r="119" spans="1:8" ht="15.75" thickBot="1" x14ac:dyDescent="0.25">
      <c r="A119" s="167"/>
      <c r="B119" s="165"/>
      <c r="C119" s="226"/>
      <c r="D119" s="226"/>
      <c r="E119" s="226"/>
      <c r="F119" s="166"/>
      <c r="G119" s="241"/>
      <c r="H119" s="242"/>
    </row>
    <row r="120" spans="1:8" ht="17.25" thickTop="1" thickBot="1" x14ac:dyDescent="0.3">
      <c r="A120" s="174" t="s">
        <v>14</v>
      </c>
      <c r="B120" s="175"/>
      <c r="C120" s="228">
        <f>SUM(C108:C119)</f>
        <v>0</v>
      </c>
      <c r="D120" s="230">
        <f>SUM(D108:D119)</f>
        <v>0</v>
      </c>
      <c r="E120" s="271">
        <f>SUM(E108:E119)</f>
        <v>0</v>
      </c>
      <c r="F120" s="176">
        <v>0</v>
      </c>
      <c r="G120" s="249">
        <v>0</v>
      </c>
      <c r="H120" s="270">
        <v>0</v>
      </c>
    </row>
    <row r="121" spans="1:8" ht="15.75" thickTop="1" x14ac:dyDescent="0.2">
      <c r="A121" s="167"/>
      <c r="B121" s="179"/>
      <c r="C121" s="229"/>
      <c r="D121" s="229"/>
      <c r="E121" s="229"/>
      <c r="F121" s="180"/>
      <c r="G121" s="247"/>
      <c r="H121" s="248"/>
    </row>
    <row r="122" spans="1:8" ht="15.75" x14ac:dyDescent="0.25">
      <c r="A122" s="164" t="s">
        <v>16</v>
      </c>
      <c r="B122" s="165">
        <f>DATE(22,7,1)</f>
        <v>8218</v>
      </c>
      <c r="C122" s="226">
        <v>0</v>
      </c>
      <c r="D122" s="226">
        <v>0</v>
      </c>
      <c r="E122" s="226">
        <v>0</v>
      </c>
      <c r="F122" s="166">
        <v>0</v>
      </c>
      <c r="G122" s="241">
        <v>0</v>
      </c>
      <c r="H122" s="242">
        <v>0</v>
      </c>
    </row>
    <row r="123" spans="1:8" ht="15.75" x14ac:dyDescent="0.25">
      <c r="A123" s="164"/>
      <c r="B123" s="165">
        <f>DATE(22,8,1)</f>
        <v>8249</v>
      </c>
      <c r="C123" s="226">
        <v>0</v>
      </c>
      <c r="D123" s="226">
        <v>0</v>
      </c>
      <c r="E123" s="226">
        <v>0</v>
      </c>
      <c r="F123" s="166">
        <v>0</v>
      </c>
      <c r="G123" s="241">
        <v>0</v>
      </c>
      <c r="H123" s="242">
        <v>0</v>
      </c>
    </row>
    <row r="124" spans="1:8" ht="15.75" x14ac:dyDescent="0.25">
      <c r="A124" s="164"/>
      <c r="B124" s="165">
        <f>DATE(22,9,1)</f>
        <v>8280</v>
      </c>
      <c r="C124" s="226">
        <v>0</v>
      </c>
      <c r="D124" s="226">
        <v>0</v>
      </c>
      <c r="E124" s="226">
        <v>0</v>
      </c>
      <c r="F124" s="166">
        <v>0</v>
      </c>
      <c r="G124" s="241">
        <v>0</v>
      </c>
      <c r="H124" s="242">
        <v>0</v>
      </c>
    </row>
    <row r="125" spans="1:8" ht="15.75" x14ac:dyDescent="0.25">
      <c r="A125" s="164"/>
      <c r="B125" s="165">
        <f>DATE(22,10,1)</f>
        <v>8310</v>
      </c>
      <c r="C125" s="226">
        <v>0</v>
      </c>
      <c r="D125" s="226">
        <v>0</v>
      </c>
      <c r="E125" s="226">
        <v>0</v>
      </c>
      <c r="F125" s="166">
        <v>0</v>
      </c>
      <c r="G125" s="241">
        <v>0</v>
      </c>
      <c r="H125" s="242">
        <v>0</v>
      </c>
    </row>
    <row r="126" spans="1:8" ht="15.75" x14ac:dyDescent="0.25">
      <c r="A126" s="164"/>
      <c r="B126" s="165">
        <f>DATE(22,11,1)</f>
        <v>8341</v>
      </c>
      <c r="C126" s="226">
        <v>0</v>
      </c>
      <c r="D126" s="226">
        <v>0</v>
      </c>
      <c r="E126" s="226">
        <v>0</v>
      </c>
      <c r="F126" s="166">
        <v>0</v>
      </c>
      <c r="G126" s="241">
        <v>0</v>
      </c>
      <c r="H126" s="242">
        <v>0</v>
      </c>
    </row>
    <row r="127" spans="1:8" ht="15.75" x14ac:dyDescent="0.25">
      <c r="A127" s="164"/>
      <c r="B127" s="165">
        <f>DATE(22,12,1)</f>
        <v>8371</v>
      </c>
      <c r="C127" s="226">
        <v>0</v>
      </c>
      <c r="D127" s="226">
        <v>0</v>
      </c>
      <c r="E127" s="226">
        <v>0</v>
      </c>
      <c r="F127" s="166">
        <v>0</v>
      </c>
      <c r="G127" s="241">
        <v>0</v>
      </c>
      <c r="H127" s="242">
        <v>0</v>
      </c>
    </row>
    <row r="128" spans="1:8" ht="15.75" x14ac:dyDescent="0.25">
      <c r="A128" s="164"/>
      <c r="B128" s="165">
        <f>DATE(23,1,1)</f>
        <v>8402</v>
      </c>
      <c r="C128" s="226">
        <v>0</v>
      </c>
      <c r="D128" s="226">
        <v>0</v>
      </c>
      <c r="E128" s="226">
        <v>0</v>
      </c>
      <c r="F128" s="166">
        <v>0</v>
      </c>
      <c r="G128" s="241">
        <v>0</v>
      </c>
      <c r="H128" s="242">
        <v>0</v>
      </c>
    </row>
    <row r="129" spans="1:8" ht="15.75" x14ac:dyDescent="0.25">
      <c r="A129" s="164"/>
      <c r="B129" s="165">
        <f>DATE(23,2,1)</f>
        <v>8433</v>
      </c>
      <c r="C129" s="226">
        <v>0</v>
      </c>
      <c r="D129" s="226">
        <v>0</v>
      </c>
      <c r="E129" s="226">
        <v>0</v>
      </c>
      <c r="F129" s="166">
        <v>0</v>
      </c>
      <c r="G129" s="241">
        <v>0</v>
      </c>
      <c r="H129" s="242">
        <v>0</v>
      </c>
    </row>
    <row r="130" spans="1:8" ht="15.75" x14ac:dyDescent="0.25">
      <c r="A130" s="164"/>
      <c r="B130" s="165">
        <f>DATE(23,3,1)</f>
        <v>8461</v>
      </c>
      <c r="C130" s="226">
        <v>0</v>
      </c>
      <c r="D130" s="226">
        <v>0</v>
      </c>
      <c r="E130" s="226">
        <v>0</v>
      </c>
      <c r="F130" s="166">
        <v>0</v>
      </c>
      <c r="G130" s="241">
        <v>0</v>
      </c>
      <c r="H130" s="242">
        <v>0</v>
      </c>
    </row>
    <row r="131" spans="1:8" ht="15.75" x14ac:dyDescent="0.25">
      <c r="A131" s="164"/>
      <c r="B131" s="165">
        <f>DATE(23,4,1)</f>
        <v>8492</v>
      </c>
      <c r="C131" s="226">
        <v>0</v>
      </c>
      <c r="D131" s="226">
        <v>0</v>
      </c>
      <c r="E131" s="226">
        <v>0</v>
      </c>
      <c r="F131" s="166">
        <v>0</v>
      </c>
      <c r="G131" s="241">
        <v>0</v>
      </c>
      <c r="H131" s="242">
        <v>0</v>
      </c>
    </row>
    <row r="132" spans="1:8" ht="15.75" x14ac:dyDescent="0.25">
      <c r="A132" s="164"/>
      <c r="B132" s="165">
        <f>DATE(23,5,1)</f>
        <v>8522</v>
      </c>
      <c r="C132" s="226">
        <v>0</v>
      </c>
      <c r="D132" s="226">
        <v>0</v>
      </c>
      <c r="E132" s="226">
        <v>0</v>
      </c>
      <c r="F132" s="166">
        <v>0</v>
      </c>
      <c r="G132" s="241">
        <v>0</v>
      </c>
      <c r="H132" s="242">
        <v>0</v>
      </c>
    </row>
    <row r="133" spans="1:8" ht="16.5" thickBot="1" x14ac:dyDescent="0.3">
      <c r="A133" s="164"/>
      <c r="B133" s="165"/>
      <c r="C133" s="226"/>
      <c r="D133" s="226"/>
      <c r="E133" s="226"/>
      <c r="F133" s="166"/>
      <c r="G133" s="241"/>
      <c r="H133" s="242"/>
    </row>
    <row r="134" spans="1:8" ht="17.25" thickTop="1" thickBot="1" x14ac:dyDescent="0.3">
      <c r="A134" s="174" t="s">
        <v>14</v>
      </c>
      <c r="B134" s="181"/>
      <c r="C134" s="228">
        <f>SUM(C122:C133)</f>
        <v>0</v>
      </c>
      <c r="D134" s="228">
        <f>SUM(D122:D133)</f>
        <v>0</v>
      </c>
      <c r="E134" s="228">
        <f>SUM(E122:E133)</f>
        <v>0</v>
      </c>
      <c r="F134" s="176">
        <v>0</v>
      </c>
      <c r="G134" s="245">
        <v>0</v>
      </c>
      <c r="H134" s="246">
        <v>0</v>
      </c>
    </row>
    <row r="135" spans="1:8" ht="15.75" thickTop="1" x14ac:dyDescent="0.2">
      <c r="A135" s="171"/>
      <c r="B135" s="172"/>
      <c r="C135" s="227"/>
      <c r="D135" s="227"/>
      <c r="E135" s="227"/>
      <c r="F135" s="173"/>
      <c r="G135" s="243"/>
      <c r="H135" s="244"/>
    </row>
    <row r="136" spans="1:8" ht="15.75" x14ac:dyDescent="0.25">
      <c r="A136" s="164" t="s">
        <v>53</v>
      </c>
      <c r="B136" s="165">
        <f>DATE(22,7,1)</f>
        <v>8218</v>
      </c>
      <c r="C136" s="226">
        <v>0</v>
      </c>
      <c r="D136" s="226">
        <v>0</v>
      </c>
      <c r="E136" s="226">
        <v>0</v>
      </c>
      <c r="F136" s="166">
        <v>0</v>
      </c>
      <c r="G136" s="241">
        <v>0</v>
      </c>
      <c r="H136" s="242">
        <v>0</v>
      </c>
    </row>
    <row r="137" spans="1:8" ht="15.75" x14ac:dyDescent="0.25">
      <c r="A137" s="164"/>
      <c r="B137" s="165">
        <f>DATE(22,8,1)</f>
        <v>8249</v>
      </c>
      <c r="C137" s="226">
        <v>0</v>
      </c>
      <c r="D137" s="226">
        <v>0</v>
      </c>
      <c r="E137" s="226">
        <v>0</v>
      </c>
      <c r="F137" s="166">
        <v>0</v>
      </c>
      <c r="G137" s="241">
        <v>0</v>
      </c>
      <c r="H137" s="242">
        <v>0</v>
      </c>
    </row>
    <row r="138" spans="1:8" ht="15.75" x14ac:dyDescent="0.25">
      <c r="A138" s="164"/>
      <c r="B138" s="165">
        <f>DATE(22,9,1)</f>
        <v>8280</v>
      </c>
      <c r="C138" s="226">
        <v>0</v>
      </c>
      <c r="D138" s="226">
        <v>0</v>
      </c>
      <c r="E138" s="226">
        <v>0</v>
      </c>
      <c r="F138" s="166">
        <v>0</v>
      </c>
      <c r="G138" s="241">
        <v>0</v>
      </c>
      <c r="H138" s="242">
        <v>0</v>
      </c>
    </row>
    <row r="139" spans="1:8" ht="15.75" x14ac:dyDescent="0.25">
      <c r="A139" s="164"/>
      <c r="B139" s="165">
        <f>DATE(22,10,1)</f>
        <v>8310</v>
      </c>
      <c r="C139" s="226">
        <v>0</v>
      </c>
      <c r="D139" s="226">
        <v>0</v>
      </c>
      <c r="E139" s="226">
        <v>0</v>
      </c>
      <c r="F139" s="166">
        <v>0</v>
      </c>
      <c r="G139" s="241">
        <v>0</v>
      </c>
      <c r="H139" s="242">
        <v>0</v>
      </c>
    </row>
    <row r="140" spans="1:8" ht="15.75" x14ac:dyDescent="0.25">
      <c r="A140" s="164"/>
      <c r="B140" s="165">
        <f>DATE(22,11,1)</f>
        <v>8341</v>
      </c>
      <c r="C140" s="226">
        <v>0</v>
      </c>
      <c r="D140" s="226">
        <v>0</v>
      </c>
      <c r="E140" s="226">
        <v>0</v>
      </c>
      <c r="F140" s="166">
        <v>0</v>
      </c>
      <c r="G140" s="241">
        <v>0</v>
      </c>
      <c r="H140" s="242">
        <v>0</v>
      </c>
    </row>
    <row r="141" spans="1:8" ht="15.75" x14ac:dyDescent="0.25">
      <c r="A141" s="164"/>
      <c r="B141" s="165">
        <f>DATE(22,12,1)</f>
        <v>8371</v>
      </c>
      <c r="C141" s="226">
        <v>0</v>
      </c>
      <c r="D141" s="226">
        <v>0</v>
      </c>
      <c r="E141" s="226">
        <v>0</v>
      </c>
      <c r="F141" s="166">
        <v>0</v>
      </c>
      <c r="G141" s="241">
        <v>0</v>
      </c>
      <c r="H141" s="242">
        <v>0</v>
      </c>
    </row>
    <row r="142" spans="1:8" ht="15.75" x14ac:dyDescent="0.25">
      <c r="A142" s="164"/>
      <c r="B142" s="165">
        <f>DATE(23,1,1)</f>
        <v>8402</v>
      </c>
      <c r="C142" s="226">
        <v>0</v>
      </c>
      <c r="D142" s="226">
        <v>0</v>
      </c>
      <c r="E142" s="226">
        <v>0</v>
      </c>
      <c r="F142" s="166">
        <v>0</v>
      </c>
      <c r="G142" s="241">
        <v>0</v>
      </c>
      <c r="H142" s="242">
        <v>0</v>
      </c>
    </row>
    <row r="143" spans="1:8" ht="15.75" x14ac:dyDescent="0.25">
      <c r="A143" s="164"/>
      <c r="B143" s="165">
        <f>DATE(23,2,1)</f>
        <v>8433</v>
      </c>
      <c r="C143" s="226">
        <v>0</v>
      </c>
      <c r="D143" s="226">
        <v>0</v>
      </c>
      <c r="E143" s="226">
        <v>0</v>
      </c>
      <c r="F143" s="166">
        <v>0</v>
      </c>
      <c r="G143" s="241">
        <v>0</v>
      </c>
      <c r="H143" s="242">
        <v>0</v>
      </c>
    </row>
    <row r="144" spans="1:8" ht="15.75" x14ac:dyDescent="0.25">
      <c r="A144" s="164"/>
      <c r="B144" s="165">
        <f>DATE(23,3,1)</f>
        <v>8461</v>
      </c>
      <c r="C144" s="226">
        <v>0</v>
      </c>
      <c r="D144" s="226">
        <v>0</v>
      </c>
      <c r="E144" s="226">
        <v>0</v>
      </c>
      <c r="F144" s="166">
        <v>0</v>
      </c>
      <c r="G144" s="241">
        <v>0</v>
      </c>
      <c r="H144" s="242">
        <v>0</v>
      </c>
    </row>
    <row r="145" spans="1:8" ht="15.75" x14ac:dyDescent="0.25">
      <c r="A145" s="164"/>
      <c r="B145" s="165">
        <f>DATE(23,4,1)</f>
        <v>8492</v>
      </c>
      <c r="C145" s="226">
        <v>0</v>
      </c>
      <c r="D145" s="226">
        <v>0</v>
      </c>
      <c r="E145" s="226">
        <v>0</v>
      </c>
      <c r="F145" s="166">
        <v>0</v>
      </c>
      <c r="G145" s="241">
        <v>0</v>
      </c>
      <c r="H145" s="242">
        <v>0</v>
      </c>
    </row>
    <row r="146" spans="1:8" ht="15.75" x14ac:dyDescent="0.25">
      <c r="A146" s="164"/>
      <c r="B146" s="165">
        <f>DATE(23,5,1)</f>
        <v>8522</v>
      </c>
      <c r="C146" s="226">
        <v>0</v>
      </c>
      <c r="D146" s="226">
        <v>0</v>
      </c>
      <c r="E146" s="226">
        <v>0</v>
      </c>
      <c r="F146" s="166">
        <v>0</v>
      </c>
      <c r="G146" s="241">
        <v>0</v>
      </c>
      <c r="H146" s="242">
        <v>0</v>
      </c>
    </row>
    <row r="147" spans="1:8" ht="15.75" thickBot="1" x14ac:dyDescent="0.25">
      <c r="A147" s="167"/>
      <c r="B147" s="168"/>
      <c r="C147" s="226"/>
      <c r="D147" s="226"/>
      <c r="E147" s="226"/>
      <c r="F147" s="166"/>
      <c r="G147" s="241"/>
      <c r="H147" s="242"/>
    </row>
    <row r="148" spans="1:8" ht="17.25" thickTop="1" thickBot="1" x14ac:dyDescent="0.3">
      <c r="A148" s="174" t="s">
        <v>14</v>
      </c>
      <c r="B148" s="175"/>
      <c r="C148" s="228">
        <f>SUM(C136:C147)</f>
        <v>0</v>
      </c>
      <c r="D148" s="228">
        <f>SUM(D136:D147)</f>
        <v>0</v>
      </c>
      <c r="E148" s="228">
        <f>SUM(E136:E147)</f>
        <v>0</v>
      </c>
      <c r="F148" s="176">
        <v>0</v>
      </c>
      <c r="G148" s="245">
        <v>0</v>
      </c>
      <c r="H148" s="246">
        <v>0</v>
      </c>
    </row>
    <row r="149" spans="1:8" ht="15.75" thickTop="1" x14ac:dyDescent="0.2">
      <c r="A149" s="167"/>
      <c r="B149" s="168"/>
      <c r="C149" s="226"/>
      <c r="D149" s="226"/>
      <c r="E149" s="226"/>
      <c r="F149" s="166"/>
      <c r="G149" s="241"/>
      <c r="H149" s="242"/>
    </row>
    <row r="150" spans="1:8" ht="15.75" x14ac:dyDescent="0.25">
      <c r="A150" s="164" t="s">
        <v>54</v>
      </c>
      <c r="B150" s="165">
        <f>DATE(22,7,1)</f>
        <v>8218</v>
      </c>
      <c r="C150" s="226">
        <v>0</v>
      </c>
      <c r="D150" s="226">
        <v>0</v>
      </c>
      <c r="E150" s="226">
        <v>0</v>
      </c>
      <c r="F150" s="166">
        <v>0</v>
      </c>
      <c r="G150" s="241">
        <v>0</v>
      </c>
      <c r="H150" s="242">
        <v>0</v>
      </c>
    </row>
    <row r="151" spans="1:8" ht="15.75" x14ac:dyDescent="0.25">
      <c r="A151" s="164"/>
      <c r="B151" s="165">
        <f>DATE(22,8,1)</f>
        <v>8249</v>
      </c>
      <c r="C151" s="226">
        <v>0</v>
      </c>
      <c r="D151" s="226">
        <v>0</v>
      </c>
      <c r="E151" s="226">
        <v>0</v>
      </c>
      <c r="F151" s="166">
        <v>0</v>
      </c>
      <c r="G151" s="241">
        <v>0</v>
      </c>
      <c r="H151" s="242">
        <v>0</v>
      </c>
    </row>
    <row r="152" spans="1:8" ht="15.75" x14ac:dyDescent="0.25">
      <c r="A152" s="164"/>
      <c r="B152" s="165">
        <f>DATE(22,9,1)</f>
        <v>8280</v>
      </c>
      <c r="C152" s="226">
        <v>0</v>
      </c>
      <c r="D152" s="226">
        <v>0</v>
      </c>
      <c r="E152" s="226">
        <v>0</v>
      </c>
      <c r="F152" s="166">
        <v>0</v>
      </c>
      <c r="G152" s="241">
        <v>0</v>
      </c>
      <c r="H152" s="242">
        <v>0</v>
      </c>
    </row>
    <row r="153" spans="1:8" ht="15.75" x14ac:dyDescent="0.25">
      <c r="A153" s="164"/>
      <c r="B153" s="165">
        <f>DATE(22,10,1)</f>
        <v>8310</v>
      </c>
      <c r="C153" s="226">
        <v>0</v>
      </c>
      <c r="D153" s="226">
        <v>0</v>
      </c>
      <c r="E153" s="226">
        <v>0</v>
      </c>
      <c r="F153" s="166">
        <v>0</v>
      </c>
      <c r="G153" s="241">
        <v>0</v>
      </c>
      <c r="H153" s="242">
        <v>0</v>
      </c>
    </row>
    <row r="154" spans="1:8" ht="15.75" x14ac:dyDescent="0.25">
      <c r="A154" s="164"/>
      <c r="B154" s="165">
        <f>DATE(22,11,1)</f>
        <v>8341</v>
      </c>
      <c r="C154" s="226">
        <v>0</v>
      </c>
      <c r="D154" s="226">
        <v>0</v>
      </c>
      <c r="E154" s="226">
        <v>0</v>
      </c>
      <c r="F154" s="166">
        <v>0</v>
      </c>
      <c r="G154" s="241">
        <v>0</v>
      </c>
      <c r="H154" s="242">
        <v>0</v>
      </c>
    </row>
    <row r="155" spans="1:8" ht="15.75" x14ac:dyDescent="0.25">
      <c r="A155" s="164"/>
      <c r="B155" s="165">
        <f>DATE(22,12,1)</f>
        <v>8371</v>
      </c>
      <c r="C155" s="226">
        <v>0</v>
      </c>
      <c r="D155" s="226">
        <v>0</v>
      </c>
      <c r="E155" s="226">
        <v>0</v>
      </c>
      <c r="F155" s="166">
        <v>0</v>
      </c>
      <c r="G155" s="241">
        <v>0</v>
      </c>
      <c r="H155" s="242">
        <v>0</v>
      </c>
    </row>
    <row r="156" spans="1:8" ht="15.75" x14ac:dyDescent="0.25">
      <c r="A156" s="164"/>
      <c r="B156" s="165">
        <f>DATE(23,1,1)</f>
        <v>8402</v>
      </c>
      <c r="C156" s="226">
        <v>0</v>
      </c>
      <c r="D156" s="226">
        <v>0</v>
      </c>
      <c r="E156" s="226">
        <v>0</v>
      </c>
      <c r="F156" s="166">
        <v>0</v>
      </c>
      <c r="G156" s="241">
        <v>0</v>
      </c>
      <c r="H156" s="242">
        <v>0</v>
      </c>
    </row>
    <row r="157" spans="1:8" ht="15.75" x14ac:dyDescent="0.25">
      <c r="A157" s="164"/>
      <c r="B157" s="165">
        <f>DATE(23,2,1)</f>
        <v>8433</v>
      </c>
      <c r="C157" s="226">
        <v>0</v>
      </c>
      <c r="D157" s="226">
        <v>0</v>
      </c>
      <c r="E157" s="226">
        <v>0</v>
      </c>
      <c r="F157" s="166">
        <v>0</v>
      </c>
      <c r="G157" s="241">
        <v>0</v>
      </c>
      <c r="H157" s="242">
        <v>0</v>
      </c>
    </row>
    <row r="158" spans="1:8" ht="15.75" x14ac:dyDescent="0.25">
      <c r="A158" s="164"/>
      <c r="B158" s="165">
        <f>DATE(23,3,1)</f>
        <v>8461</v>
      </c>
      <c r="C158" s="226">
        <v>0</v>
      </c>
      <c r="D158" s="226">
        <v>0</v>
      </c>
      <c r="E158" s="226">
        <v>0</v>
      </c>
      <c r="F158" s="166">
        <v>0</v>
      </c>
      <c r="G158" s="241">
        <v>0</v>
      </c>
      <c r="H158" s="242">
        <v>0</v>
      </c>
    </row>
    <row r="159" spans="1:8" ht="15.75" x14ac:dyDescent="0.25">
      <c r="A159" s="164"/>
      <c r="B159" s="165">
        <f>DATE(23,4,1)</f>
        <v>8492</v>
      </c>
      <c r="C159" s="226">
        <v>0</v>
      </c>
      <c r="D159" s="226">
        <v>0</v>
      </c>
      <c r="E159" s="226">
        <v>0</v>
      </c>
      <c r="F159" s="166">
        <v>0</v>
      </c>
      <c r="G159" s="241">
        <v>0</v>
      </c>
      <c r="H159" s="242">
        <v>0</v>
      </c>
    </row>
    <row r="160" spans="1:8" ht="15.75" x14ac:dyDescent="0.25">
      <c r="A160" s="164"/>
      <c r="B160" s="165">
        <f>DATE(23,5,1)</f>
        <v>8522</v>
      </c>
      <c r="C160" s="226">
        <v>0</v>
      </c>
      <c r="D160" s="226">
        <v>0</v>
      </c>
      <c r="E160" s="226">
        <v>0</v>
      </c>
      <c r="F160" s="166">
        <v>0</v>
      </c>
      <c r="G160" s="241">
        <v>0</v>
      </c>
      <c r="H160" s="242">
        <v>0</v>
      </c>
    </row>
    <row r="161" spans="1:8" ht="15.75" thickBot="1" x14ac:dyDescent="0.25">
      <c r="A161" s="167"/>
      <c r="B161" s="168"/>
      <c r="C161" s="226"/>
      <c r="D161" s="226"/>
      <c r="E161" s="226"/>
      <c r="F161" s="166"/>
      <c r="G161" s="241"/>
      <c r="H161" s="242"/>
    </row>
    <row r="162" spans="1:8" ht="17.25" thickTop="1" thickBot="1" x14ac:dyDescent="0.3">
      <c r="A162" s="182" t="s">
        <v>14</v>
      </c>
      <c r="B162" s="183"/>
      <c r="C162" s="230">
        <f>SUM(C150:C161)</f>
        <v>0</v>
      </c>
      <c r="D162" s="230">
        <f>SUM(D150:D161)</f>
        <v>0</v>
      </c>
      <c r="E162" s="230">
        <f>SUM(E150:E161)</f>
        <v>0</v>
      </c>
      <c r="F162" s="176">
        <v>0</v>
      </c>
      <c r="G162" s="245">
        <v>0</v>
      </c>
      <c r="H162" s="246">
        <v>0</v>
      </c>
    </row>
    <row r="163" spans="1:8" ht="15.75" thickTop="1" x14ac:dyDescent="0.2">
      <c r="A163" s="167"/>
      <c r="B163" s="168"/>
      <c r="C163" s="226"/>
      <c r="D163" s="226"/>
      <c r="E163" s="226"/>
      <c r="F163" s="166"/>
      <c r="G163" s="241"/>
      <c r="H163" s="242"/>
    </row>
    <row r="164" spans="1:8" ht="15.75" x14ac:dyDescent="0.25">
      <c r="A164" s="164" t="s">
        <v>37</v>
      </c>
      <c r="B164" s="165">
        <f>DATE(22,7,1)</f>
        <v>8218</v>
      </c>
      <c r="C164" s="226">
        <v>5095922.6399999997</v>
      </c>
      <c r="D164" s="226">
        <v>215844.68</v>
      </c>
      <c r="E164" s="226">
        <v>209181.95</v>
      </c>
      <c r="F164" s="166">
        <f t="shared" ref="F164:F174" si="2">+(D164-E164)/E164</f>
        <v>3.1851361936342887E-2</v>
      </c>
      <c r="G164" s="241">
        <f t="shared" ref="G164:G174" si="3">+D164/C164</f>
        <v>4.2356349428412834E-2</v>
      </c>
      <c r="H164" s="289">
        <f t="shared" ref="H164:H174" si="4">1-G164</f>
        <v>0.95764365057158718</v>
      </c>
    </row>
    <row r="165" spans="1:8" ht="15.75" x14ac:dyDescent="0.25">
      <c r="A165" s="164"/>
      <c r="B165" s="165">
        <f>DATE(22,8,1)</f>
        <v>8249</v>
      </c>
      <c r="C165" s="226">
        <v>4684772.5</v>
      </c>
      <c r="D165" s="226">
        <v>222475.66</v>
      </c>
      <c r="E165" s="226">
        <v>126701.54</v>
      </c>
      <c r="F165" s="166">
        <f t="shared" si="2"/>
        <v>0.75590336155345872</v>
      </c>
      <c r="G165" s="241">
        <f t="shared" si="3"/>
        <v>4.7489106461413015E-2</v>
      </c>
      <c r="H165" s="289">
        <f t="shared" si="4"/>
        <v>0.95251089353858698</v>
      </c>
    </row>
    <row r="166" spans="1:8" ht="15.75" x14ac:dyDescent="0.25">
      <c r="A166" s="164"/>
      <c r="B166" s="165">
        <f>DATE(22,9,1)</f>
        <v>8280</v>
      </c>
      <c r="C166" s="226">
        <v>4372547.5</v>
      </c>
      <c r="D166" s="226">
        <v>213180.35</v>
      </c>
      <c r="E166" s="226">
        <v>145306.89000000001</v>
      </c>
      <c r="F166" s="166">
        <f t="shared" si="2"/>
        <v>0.46710420958015125</v>
      </c>
      <c r="G166" s="241">
        <f t="shared" si="3"/>
        <v>4.8754267392178134E-2</v>
      </c>
      <c r="H166" s="289">
        <f t="shared" si="4"/>
        <v>0.95124573260782186</v>
      </c>
    </row>
    <row r="167" spans="1:8" ht="15.75" x14ac:dyDescent="0.25">
      <c r="A167" s="164"/>
      <c r="B167" s="165">
        <f>DATE(22,10,1)</f>
        <v>8310</v>
      </c>
      <c r="C167" s="226">
        <v>4954774</v>
      </c>
      <c r="D167" s="226">
        <v>197241.83</v>
      </c>
      <c r="E167" s="226">
        <v>179665.17</v>
      </c>
      <c r="F167" s="166">
        <f t="shared" si="2"/>
        <v>9.7830091386104351E-2</v>
      </c>
      <c r="G167" s="241">
        <f t="shared" si="3"/>
        <v>3.9808441313367672E-2</v>
      </c>
      <c r="H167" s="289">
        <f t="shared" si="4"/>
        <v>0.96019155868663231</v>
      </c>
    </row>
    <row r="168" spans="1:8" ht="15.75" x14ac:dyDescent="0.25">
      <c r="A168" s="164"/>
      <c r="B168" s="165">
        <f>DATE(22,11,1)</f>
        <v>8341</v>
      </c>
      <c r="C168" s="226">
        <v>3855288</v>
      </c>
      <c r="D168" s="226">
        <v>191836.78</v>
      </c>
      <c r="E168" s="226">
        <v>200635.43</v>
      </c>
      <c r="F168" s="166">
        <f t="shared" si="2"/>
        <v>-4.3853919519598279E-2</v>
      </c>
      <c r="G168" s="241">
        <f t="shared" si="3"/>
        <v>4.9759390219355853E-2</v>
      </c>
      <c r="H168" s="289">
        <f t="shared" si="4"/>
        <v>0.95024060978064417</v>
      </c>
    </row>
    <row r="169" spans="1:8" ht="15.75" x14ac:dyDescent="0.25">
      <c r="A169" s="164"/>
      <c r="B169" s="165">
        <f>DATE(22,12,1)</f>
        <v>8371</v>
      </c>
      <c r="C169" s="226">
        <v>4154017.5</v>
      </c>
      <c r="D169" s="226">
        <v>198418.76</v>
      </c>
      <c r="E169" s="226">
        <v>258639.24</v>
      </c>
      <c r="F169" s="166">
        <f t="shared" si="2"/>
        <v>-0.23283582181883919</v>
      </c>
      <c r="G169" s="241">
        <f t="shared" si="3"/>
        <v>4.7765508932015817E-2</v>
      </c>
      <c r="H169" s="289">
        <f t="shared" si="4"/>
        <v>0.95223449106798419</v>
      </c>
    </row>
    <row r="170" spans="1:8" ht="15.75" x14ac:dyDescent="0.25">
      <c r="A170" s="164"/>
      <c r="B170" s="165">
        <f>DATE(23,1,1)</f>
        <v>8402</v>
      </c>
      <c r="C170" s="226">
        <v>3997710</v>
      </c>
      <c r="D170" s="226">
        <v>161229.07</v>
      </c>
      <c r="E170" s="226">
        <v>255321.86</v>
      </c>
      <c r="F170" s="166">
        <f t="shared" si="2"/>
        <v>-0.36852618103283435</v>
      </c>
      <c r="G170" s="241">
        <f t="shared" si="3"/>
        <v>4.03303566291702E-2</v>
      </c>
      <c r="H170" s="289">
        <f t="shared" si="4"/>
        <v>0.95966964337082983</v>
      </c>
    </row>
    <row r="171" spans="1:8" ht="15.75" x14ac:dyDescent="0.25">
      <c r="A171" s="164"/>
      <c r="B171" s="165">
        <f>DATE(23,2,1)</f>
        <v>8433</v>
      </c>
      <c r="C171" s="226">
        <v>4393515.5</v>
      </c>
      <c r="D171" s="226">
        <v>159252.82</v>
      </c>
      <c r="E171" s="226">
        <v>283659.46000000002</v>
      </c>
      <c r="F171" s="166">
        <f t="shared" si="2"/>
        <v>-0.43857744071006832</v>
      </c>
      <c r="G171" s="241">
        <f t="shared" si="3"/>
        <v>3.6247242100318072E-2</v>
      </c>
      <c r="H171" s="289">
        <f t="shared" si="4"/>
        <v>0.96375275789968196</v>
      </c>
    </row>
    <row r="172" spans="1:8" ht="15.75" x14ac:dyDescent="0.25">
      <c r="A172" s="164"/>
      <c r="B172" s="165">
        <f>DATE(23,3,1)</f>
        <v>8461</v>
      </c>
      <c r="C172" s="226">
        <v>5520741</v>
      </c>
      <c r="D172" s="226">
        <v>210856.45</v>
      </c>
      <c r="E172" s="226">
        <v>172733.04</v>
      </c>
      <c r="F172" s="166">
        <f t="shared" si="2"/>
        <v>0.22070710965313875</v>
      </c>
      <c r="G172" s="241">
        <f t="shared" si="3"/>
        <v>3.8193505183452728E-2</v>
      </c>
      <c r="H172" s="289">
        <f t="shared" si="4"/>
        <v>0.96180649481654723</v>
      </c>
    </row>
    <row r="173" spans="1:8" ht="15.75" x14ac:dyDescent="0.25">
      <c r="A173" s="164"/>
      <c r="B173" s="165">
        <f>DATE(23,4,1)</f>
        <v>8492</v>
      </c>
      <c r="C173" s="226">
        <v>5008431.5</v>
      </c>
      <c r="D173" s="226">
        <v>191780.04</v>
      </c>
      <c r="E173" s="226">
        <v>178952.38</v>
      </c>
      <c r="F173" s="166">
        <f t="shared" si="2"/>
        <v>7.1681974835987108E-2</v>
      </c>
      <c r="G173" s="241">
        <f t="shared" si="3"/>
        <v>3.8291437149534743E-2</v>
      </c>
      <c r="H173" s="289">
        <f t="shared" si="4"/>
        <v>0.96170856285046524</v>
      </c>
    </row>
    <row r="174" spans="1:8" ht="15.75" x14ac:dyDescent="0.25">
      <c r="A174" s="164"/>
      <c r="B174" s="165">
        <f>DATE(23,5,1)</f>
        <v>8522</v>
      </c>
      <c r="C174" s="226">
        <v>4069190.5</v>
      </c>
      <c r="D174" s="226">
        <v>172569.71</v>
      </c>
      <c r="E174" s="226">
        <v>248111.88</v>
      </c>
      <c r="F174" s="166">
        <f t="shared" si="2"/>
        <v>-0.30446816976276997</v>
      </c>
      <c r="G174" s="241">
        <f t="shared" si="3"/>
        <v>4.2408855029028497E-2</v>
      </c>
      <c r="H174" s="289">
        <f t="shared" si="4"/>
        <v>0.95759114497097153</v>
      </c>
    </row>
    <row r="175" spans="1:8" ht="15.75" thickBot="1" x14ac:dyDescent="0.25">
      <c r="A175" s="167"/>
      <c r="B175" s="168"/>
      <c r="C175" s="226"/>
      <c r="D175" s="226"/>
      <c r="E175" s="226"/>
      <c r="F175" s="166"/>
      <c r="G175" s="241"/>
      <c r="H175" s="242"/>
    </row>
    <row r="176" spans="1:8" ht="17.25" thickTop="1" thickBot="1" x14ac:dyDescent="0.3">
      <c r="A176" s="174" t="s">
        <v>14</v>
      </c>
      <c r="B176" s="175"/>
      <c r="C176" s="228">
        <f>SUM(C164:C175)</f>
        <v>50106910.640000001</v>
      </c>
      <c r="D176" s="228">
        <f>SUM(D164:D175)</f>
        <v>2134686.1500000004</v>
      </c>
      <c r="E176" s="228">
        <f>SUM(E164:E175)</f>
        <v>2258908.84</v>
      </c>
      <c r="F176" s="176">
        <f>+(D176-E176)/E176</f>
        <v>-5.4992343117307683E-2</v>
      </c>
      <c r="G176" s="245">
        <f>+D176/C176</f>
        <v>4.2602629512263228E-2</v>
      </c>
      <c r="H176" s="246">
        <f>1-G176</f>
        <v>0.95739737048773677</v>
      </c>
    </row>
    <row r="177" spans="1:8" ht="15.75" thickTop="1" x14ac:dyDescent="0.2">
      <c r="A177" s="167"/>
      <c r="B177" s="168"/>
      <c r="C177" s="226"/>
      <c r="D177" s="226"/>
      <c r="E177" s="226"/>
      <c r="F177" s="166"/>
      <c r="G177" s="241"/>
      <c r="H177" s="242"/>
    </row>
    <row r="178" spans="1:8" ht="15.75" x14ac:dyDescent="0.25">
      <c r="A178" s="164" t="s">
        <v>57</v>
      </c>
      <c r="B178" s="165">
        <f>DATE(22,7,1)</f>
        <v>8218</v>
      </c>
      <c r="C178" s="226">
        <v>0</v>
      </c>
      <c r="D178" s="226">
        <v>0</v>
      </c>
      <c r="E178" s="226">
        <v>0</v>
      </c>
      <c r="F178" s="166">
        <v>0</v>
      </c>
      <c r="G178" s="241">
        <v>0</v>
      </c>
      <c r="H178" s="242">
        <v>0</v>
      </c>
    </row>
    <row r="179" spans="1:8" ht="15.75" x14ac:dyDescent="0.25">
      <c r="A179" s="164"/>
      <c r="B179" s="165">
        <f>DATE(22,8,1)</f>
        <v>8249</v>
      </c>
      <c r="C179" s="226">
        <v>0</v>
      </c>
      <c r="D179" s="226">
        <v>0</v>
      </c>
      <c r="E179" s="226">
        <v>0</v>
      </c>
      <c r="F179" s="166">
        <v>0</v>
      </c>
      <c r="G179" s="241">
        <v>0</v>
      </c>
      <c r="H179" s="242">
        <v>0</v>
      </c>
    </row>
    <row r="180" spans="1:8" ht="15.75" x14ac:dyDescent="0.25">
      <c r="A180" s="164"/>
      <c r="B180" s="165">
        <f>DATE(22,9,1)</f>
        <v>8280</v>
      </c>
      <c r="C180" s="226">
        <v>0</v>
      </c>
      <c r="D180" s="226">
        <v>0</v>
      </c>
      <c r="E180" s="226">
        <v>0</v>
      </c>
      <c r="F180" s="166">
        <v>0</v>
      </c>
      <c r="G180" s="241">
        <v>0</v>
      </c>
      <c r="H180" s="242">
        <v>0</v>
      </c>
    </row>
    <row r="181" spans="1:8" ht="15.75" x14ac:dyDescent="0.25">
      <c r="A181" s="164"/>
      <c r="B181" s="165">
        <f>DATE(22,10,1)</f>
        <v>8310</v>
      </c>
      <c r="C181" s="226">
        <v>0</v>
      </c>
      <c r="D181" s="226">
        <v>0</v>
      </c>
      <c r="E181" s="226">
        <v>0</v>
      </c>
      <c r="F181" s="166">
        <v>0</v>
      </c>
      <c r="G181" s="241">
        <v>0</v>
      </c>
      <c r="H181" s="242">
        <v>0</v>
      </c>
    </row>
    <row r="182" spans="1:8" ht="15.75" x14ac:dyDescent="0.25">
      <c r="A182" s="164"/>
      <c r="B182" s="165">
        <f>DATE(22,11,1)</f>
        <v>8341</v>
      </c>
      <c r="C182" s="226">
        <v>0</v>
      </c>
      <c r="D182" s="226">
        <v>0</v>
      </c>
      <c r="E182" s="226">
        <v>0</v>
      </c>
      <c r="F182" s="166">
        <v>0</v>
      </c>
      <c r="G182" s="241">
        <v>0</v>
      </c>
      <c r="H182" s="242">
        <v>0</v>
      </c>
    </row>
    <row r="183" spans="1:8" ht="15.75" x14ac:dyDescent="0.25">
      <c r="A183" s="164"/>
      <c r="B183" s="165">
        <f>DATE(22,12,1)</f>
        <v>8371</v>
      </c>
      <c r="C183" s="226">
        <v>0</v>
      </c>
      <c r="D183" s="226">
        <v>0</v>
      </c>
      <c r="E183" s="226">
        <v>0</v>
      </c>
      <c r="F183" s="166">
        <v>0</v>
      </c>
      <c r="G183" s="241">
        <v>0</v>
      </c>
      <c r="H183" s="242">
        <v>0</v>
      </c>
    </row>
    <row r="184" spans="1:8" ht="15.75" x14ac:dyDescent="0.25">
      <c r="A184" s="164"/>
      <c r="B184" s="165">
        <f>DATE(23,1,1)</f>
        <v>8402</v>
      </c>
      <c r="C184" s="226">
        <v>0</v>
      </c>
      <c r="D184" s="226">
        <v>0</v>
      </c>
      <c r="E184" s="226">
        <v>0</v>
      </c>
      <c r="F184" s="166">
        <v>0</v>
      </c>
      <c r="G184" s="241">
        <v>0</v>
      </c>
      <c r="H184" s="242">
        <v>0</v>
      </c>
    </row>
    <row r="185" spans="1:8" ht="15.75" x14ac:dyDescent="0.25">
      <c r="A185" s="164"/>
      <c r="B185" s="165">
        <f>DATE(23,2,1)</f>
        <v>8433</v>
      </c>
      <c r="C185" s="226">
        <v>0</v>
      </c>
      <c r="D185" s="226">
        <v>0</v>
      </c>
      <c r="E185" s="226">
        <v>0</v>
      </c>
      <c r="F185" s="166">
        <v>0</v>
      </c>
      <c r="G185" s="241">
        <v>0</v>
      </c>
      <c r="H185" s="242">
        <v>0</v>
      </c>
    </row>
    <row r="186" spans="1:8" ht="15.75" x14ac:dyDescent="0.25">
      <c r="A186" s="164"/>
      <c r="B186" s="165">
        <f>DATE(23,3,1)</f>
        <v>8461</v>
      </c>
      <c r="C186" s="226">
        <v>0</v>
      </c>
      <c r="D186" s="226">
        <v>0</v>
      </c>
      <c r="E186" s="226">
        <v>0</v>
      </c>
      <c r="F186" s="166">
        <v>0</v>
      </c>
      <c r="G186" s="241">
        <v>0</v>
      </c>
      <c r="H186" s="242">
        <v>0</v>
      </c>
    </row>
    <row r="187" spans="1:8" ht="15.75" x14ac:dyDescent="0.25">
      <c r="A187" s="164"/>
      <c r="B187" s="165">
        <f>DATE(23,4,1)</f>
        <v>8492</v>
      </c>
      <c r="C187" s="226">
        <v>0</v>
      </c>
      <c r="D187" s="226">
        <v>0</v>
      </c>
      <c r="E187" s="226">
        <v>0</v>
      </c>
      <c r="F187" s="166">
        <v>0</v>
      </c>
      <c r="G187" s="241">
        <v>0</v>
      </c>
      <c r="H187" s="242">
        <v>0</v>
      </c>
    </row>
    <row r="188" spans="1:8" ht="15.75" x14ac:dyDescent="0.25">
      <c r="A188" s="164"/>
      <c r="B188" s="165">
        <f>DATE(23,5,1)</f>
        <v>8522</v>
      </c>
      <c r="C188" s="226">
        <v>0</v>
      </c>
      <c r="D188" s="226">
        <v>0</v>
      </c>
      <c r="E188" s="226">
        <v>0</v>
      </c>
      <c r="F188" s="166">
        <v>0</v>
      </c>
      <c r="G188" s="241">
        <v>0</v>
      </c>
      <c r="H188" s="242">
        <v>0</v>
      </c>
    </row>
    <row r="189" spans="1:8" ht="15.75" thickBot="1" x14ac:dyDescent="0.25">
      <c r="A189" s="167"/>
      <c r="B189" s="168"/>
      <c r="C189" s="226"/>
      <c r="D189" s="226"/>
      <c r="E189" s="226"/>
      <c r="F189" s="166"/>
      <c r="G189" s="241"/>
      <c r="H189" s="242"/>
    </row>
    <row r="190" spans="1:8" ht="17.25" thickTop="1" thickBot="1" x14ac:dyDescent="0.3">
      <c r="A190" s="169" t="s">
        <v>14</v>
      </c>
      <c r="B190" s="155"/>
      <c r="C190" s="223">
        <f>SUM(C178:C189)</f>
        <v>0</v>
      </c>
      <c r="D190" s="223">
        <f>SUM(D178:D189)</f>
        <v>0</v>
      </c>
      <c r="E190" s="223">
        <f>SUM(E178:E189)</f>
        <v>0</v>
      </c>
      <c r="F190" s="176">
        <v>0</v>
      </c>
      <c r="G190" s="245">
        <v>0</v>
      </c>
      <c r="H190" s="246">
        <v>0</v>
      </c>
    </row>
    <row r="191" spans="1:8" ht="16.5" thickTop="1" thickBot="1" x14ac:dyDescent="0.25">
      <c r="A191" s="171"/>
      <c r="B191" s="172"/>
      <c r="C191" s="227"/>
      <c r="D191" s="227"/>
      <c r="E191" s="227"/>
      <c r="F191" s="173"/>
      <c r="G191" s="243"/>
      <c r="H191" s="244"/>
    </row>
    <row r="192" spans="1:8" ht="17.25" thickTop="1" thickBot="1" x14ac:dyDescent="0.3">
      <c r="A192" s="184" t="s">
        <v>38</v>
      </c>
      <c r="B192" s="155"/>
      <c r="C192" s="223">
        <f>C190+C176+C134+C106+C78+C50+C22+C64+C162+C36+C120+C148+C92</f>
        <v>79610949.849999994</v>
      </c>
      <c r="D192" s="223">
        <f>D190+D176+D134+D106+D78+D50+D22+D64+D162+D36+D120+D148+D92</f>
        <v>3500260.66</v>
      </c>
      <c r="E192" s="223">
        <f>E190+E176+E134+E106+E78+E50+E22+E64+E162+E36+E120+E148+E92</f>
        <v>2991180.78</v>
      </c>
      <c r="F192" s="176">
        <f>+(D192-E192)/E192</f>
        <v>0.17019361832085603</v>
      </c>
      <c r="G192" s="236">
        <f>D192/C192</f>
        <v>4.3967075717537121E-2</v>
      </c>
      <c r="H192" s="237">
        <f>1-G192</f>
        <v>0.95603292428246289</v>
      </c>
    </row>
    <row r="193" spans="1:8" ht="17.25" thickTop="1" thickBot="1" x14ac:dyDescent="0.3">
      <c r="A193" s="184"/>
      <c r="B193" s="155"/>
      <c r="C193" s="223"/>
      <c r="D193" s="223"/>
      <c r="E193" s="223"/>
      <c r="F193" s="170"/>
      <c r="G193" s="236"/>
      <c r="H193" s="237"/>
    </row>
    <row r="194" spans="1:8" ht="17.25" thickTop="1" thickBot="1" x14ac:dyDescent="0.3">
      <c r="A194" s="184" t="s">
        <v>39</v>
      </c>
      <c r="B194" s="155"/>
      <c r="C194" s="223">
        <f>+C20+C34+C48+C62+C76+C90+C104+C118+C132+C146+C160+C174+C188</f>
        <v>4069190.5</v>
      </c>
      <c r="D194" s="223">
        <f>+D20+D34+D48+D62+D76+D90+D104+D118+D132+D146+D160+D174+D188</f>
        <v>172569.71</v>
      </c>
      <c r="E194" s="223">
        <f>+E20+E34+E48+E62+E76+E90+E104+E118+E132+E146+E160+E174+E188</f>
        <v>349667.53</v>
      </c>
      <c r="F194" s="176">
        <f>+(D194-E194)/E194</f>
        <v>-0.50647487915163303</v>
      </c>
      <c r="G194" s="236">
        <f>D194/C194</f>
        <v>4.2408855029028497E-2</v>
      </c>
      <c r="H194" s="246">
        <f>1-G194</f>
        <v>0.95759114497097153</v>
      </c>
    </row>
    <row r="195" spans="1:8" ht="16.5" thickTop="1" x14ac:dyDescent="0.25">
      <c r="A195" s="185"/>
      <c r="B195" s="186"/>
      <c r="C195" s="231"/>
      <c r="D195" s="231"/>
      <c r="E195" s="231"/>
      <c r="F195" s="187"/>
      <c r="G195" s="250"/>
      <c r="H195" s="250"/>
    </row>
    <row r="196" spans="1:8" ht="18.75" x14ac:dyDescent="0.3">
      <c r="A196" s="188" t="s">
        <v>49</v>
      </c>
      <c r="B196" s="189"/>
      <c r="C196" s="232"/>
      <c r="D196" s="232"/>
      <c r="E196" s="232"/>
      <c r="F196" s="190"/>
      <c r="G196" s="251"/>
      <c r="H196" s="251"/>
    </row>
    <row r="197" spans="1:8" ht="15.75" x14ac:dyDescent="0.25">
      <c r="A197" s="191"/>
      <c r="B197" s="189"/>
      <c r="C197" s="232"/>
      <c r="D197" s="232"/>
      <c r="E197" s="232"/>
      <c r="F197" s="190"/>
      <c r="G197" s="257"/>
      <c r="H197" s="257"/>
    </row>
  </sheetData>
  <printOptions horizontalCentered="1"/>
  <pageMargins left="0.7" right="0.45" top="0.25" bottom="0.25" header="0.3" footer="0.3"/>
  <pageSetup scale="65" orientation="landscape" r:id="rId1"/>
  <rowBreaks count="4" manualBreakCount="4">
    <brk id="50" max="16383" man="1"/>
    <brk id="92" max="16383" man="1"/>
    <brk id="134" max="16383" man="1"/>
    <brk id="1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98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78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73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DATE(22,7,1)</f>
        <v>8218</v>
      </c>
      <c r="C10" s="226">
        <v>134715868.37</v>
      </c>
      <c r="D10" s="226">
        <v>12857023.68</v>
      </c>
      <c r="E10" s="226">
        <v>13537622.550000001</v>
      </c>
      <c r="F10" s="166">
        <f t="shared" ref="F10:F20" si="0">(+D10-E10)/E10</f>
        <v>-5.0274622998703784E-2</v>
      </c>
      <c r="G10" s="241">
        <f t="shared" ref="G10:G20" si="1">D10/C10</f>
        <v>9.5438078940247112E-2</v>
      </c>
      <c r="H10" s="242">
        <f t="shared" ref="H10:H20" si="2">1-G10</f>
        <v>0.90456192105975286</v>
      </c>
      <c r="I10" s="157"/>
    </row>
    <row r="11" spans="1:9" ht="15.75" x14ac:dyDescent="0.25">
      <c r="A11" s="164"/>
      <c r="B11" s="165">
        <f>DATE(22,8,1)</f>
        <v>8249</v>
      </c>
      <c r="C11" s="226">
        <v>124862515.53</v>
      </c>
      <c r="D11" s="226">
        <v>11827521.810000001</v>
      </c>
      <c r="E11" s="226">
        <v>12571995.619999999</v>
      </c>
      <c r="F11" s="166">
        <f t="shared" si="0"/>
        <v>-5.9216836570930867E-2</v>
      </c>
      <c r="G11" s="241">
        <f t="shared" si="1"/>
        <v>9.4724359506903166E-2</v>
      </c>
      <c r="H11" s="242">
        <f t="shared" si="2"/>
        <v>0.90527564049309683</v>
      </c>
      <c r="I11" s="157"/>
    </row>
    <row r="12" spans="1:9" ht="15.75" x14ac:dyDescent="0.25">
      <c r="A12" s="164"/>
      <c r="B12" s="165">
        <f>DATE(22,9,1)</f>
        <v>8280</v>
      </c>
      <c r="C12" s="226">
        <v>120845603.62</v>
      </c>
      <c r="D12" s="226">
        <v>11779242.130000001</v>
      </c>
      <c r="E12" s="226">
        <v>11932276.220000001</v>
      </c>
      <c r="F12" s="166">
        <f t="shared" si="0"/>
        <v>-1.2825221875395023E-2</v>
      </c>
      <c r="G12" s="241">
        <f t="shared" si="1"/>
        <v>9.747348498535309E-2</v>
      </c>
      <c r="H12" s="242">
        <f t="shared" si="2"/>
        <v>0.90252651501464687</v>
      </c>
      <c r="I12" s="157"/>
    </row>
    <row r="13" spans="1:9" ht="15.75" x14ac:dyDescent="0.25">
      <c r="A13" s="164"/>
      <c r="B13" s="165">
        <f>DATE(22,10,1)</f>
        <v>8310</v>
      </c>
      <c r="C13" s="226">
        <v>122949186.61</v>
      </c>
      <c r="D13" s="226">
        <v>11839133.27</v>
      </c>
      <c r="E13" s="226">
        <v>12592302.91</v>
      </c>
      <c r="F13" s="166">
        <f t="shared" si="0"/>
        <v>-5.9811906160697703E-2</v>
      </c>
      <c r="G13" s="241">
        <f t="shared" si="1"/>
        <v>9.6292896247896539E-2</v>
      </c>
      <c r="H13" s="242">
        <f t="shared" si="2"/>
        <v>0.9037071037521035</v>
      </c>
      <c r="I13" s="157"/>
    </row>
    <row r="14" spans="1:9" ht="15.75" x14ac:dyDescent="0.25">
      <c r="A14" s="164"/>
      <c r="B14" s="165">
        <f>DATE(22,11,1)</f>
        <v>8341</v>
      </c>
      <c r="C14" s="226">
        <v>116767090.33</v>
      </c>
      <c r="D14" s="226">
        <v>10518258.619999999</v>
      </c>
      <c r="E14" s="226">
        <v>11228260.109999999</v>
      </c>
      <c r="F14" s="166">
        <f t="shared" si="0"/>
        <v>-6.3233438043323015E-2</v>
      </c>
      <c r="G14" s="241">
        <f t="shared" si="1"/>
        <v>9.007896480313024E-2</v>
      </c>
      <c r="H14" s="242">
        <f t="shared" si="2"/>
        <v>0.90992103519686973</v>
      </c>
      <c r="I14" s="157"/>
    </row>
    <row r="15" spans="1:9" ht="15.75" x14ac:dyDescent="0.25">
      <c r="A15" s="164"/>
      <c r="B15" s="165">
        <f>DATE(22,12,1)</f>
        <v>8371</v>
      </c>
      <c r="C15" s="226">
        <v>124025911.41</v>
      </c>
      <c r="D15" s="226">
        <v>11200076.720000001</v>
      </c>
      <c r="E15" s="226">
        <v>12242955.609999999</v>
      </c>
      <c r="F15" s="166">
        <f t="shared" si="0"/>
        <v>-8.5181954686512074E-2</v>
      </c>
      <c r="G15" s="241">
        <f t="shared" si="1"/>
        <v>9.0304329092775026E-2</v>
      </c>
      <c r="H15" s="242">
        <f t="shared" si="2"/>
        <v>0.90969567090722503</v>
      </c>
      <c r="I15" s="157"/>
    </row>
    <row r="16" spans="1:9" ht="15.75" x14ac:dyDescent="0.25">
      <c r="A16" s="164"/>
      <c r="B16" s="165">
        <f>DATE(23,1,1)</f>
        <v>8402</v>
      </c>
      <c r="C16" s="226">
        <v>125379167.7</v>
      </c>
      <c r="D16" s="226">
        <v>11398304.84</v>
      </c>
      <c r="E16" s="226">
        <v>10440396.67</v>
      </c>
      <c r="F16" s="166">
        <f t="shared" si="0"/>
        <v>9.1750170063222308E-2</v>
      </c>
      <c r="G16" s="241">
        <f t="shared" si="1"/>
        <v>9.09106755858613E-2</v>
      </c>
      <c r="H16" s="242">
        <f t="shared" si="2"/>
        <v>0.9090893244141387</v>
      </c>
      <c r="I16" s="157"/>
    </row>
    <row r="17" spans="1:9" ht="15.75" x14ac:dyDescent="0.25">
      <c r="A17" s="164"/>
      <c r="B17" s="165">
        <f>DATE(23,2,1)</f>
        <v>8433</v>
      </c>
      <c r="C17" s="226">
        <v>121609968.19</v>
      </c>
      <c r="D17" s="226">
        <v>11481138.220000001</v>
      </c>
      <c r="E17" s="226">
        <v>11511927.220000001</v>
      </c>
      <c r="F17" s="166">
        <f t="shared" si="0"/>
        <v>-2.6745304597226246E-3</v>
      </c>
      <c r="G17" s="241">
        <f t="shared" si="1"/>
        <v>9.4409515855330153E-2</v>
      </c>
      <c r="H17" s="242">
        <f t="shared" si="2"/>
        <v>0.90559048414466981</v>
      </c>
      <c r="I17" s="157"/>
    </row>
    <row r="18" spans="1:9" ht="15.75" x14ac:dyDescent="0.25">
      <c r="A18" s="164"/>
      <c r="B18" s="165">
        <f>DATE(23,3,1)</f>
        <v>8461</v>
      </c>
      <c r="C18" s="226">
        <v>141302932.53</v>
      </c>
      <c r="D18" s="226">
        <v>13341210.529999999</v>
      </c>
      <c r="E18" s="226">
        <v>13030966.17</v>
      </c>
      <c r="F18" s="166">
        <f t="shared" si="0"/>
        <v>2.3808239232041489E-2</v>
      </c>
      <c r="G18" s="241">
        <f t="shared" si="1"/>
        <v>9.4415666335640483E-2</v>
      </c>
      <c r="H18" s="242">
        <f t="shared" si="2"/>
        <v>0.90558433366435953</v>
      </c>
      <c r="I18" s="157"/>
    </row>
    <row r="19" spans="1:9" ht="15.75" x14ac:dyDescent="0.25">
      <c r="A19" s="164"/>
      <c r="B19" s="165">
        <f>DATE(23,4,1)</f>
        <v>8492</v>
      </c>
      <c r="C19" s="226">
        <v>128653756.41</v>
      </c>
      <c r="D19" s="226">
        <v>12102886.369999999</v>
      </c>
      <c r="E19" s="226">
        <v>13210334.82</v>
      </c>
      <c r="F19" s="166">
        <f t="shared" si="0"/>
        <v>-8.3831974366263717E-2</v>
      </c>
      <c r="G19" s="241">
        <f t="shared" si="1"/>
        <v>9.4073322907338497E-2</v>
      </c>
      <c r="H19" s="242">
        <f t="shared" si="2"/>
        <v>0.9059266770926615</v>
      </c>
      <c r="I19" s="157"/>
    </row>
    <row r="20" spans="1:9" ht="15.75" x14ac:dyDescent="0.25">
      <c r="A20" s="164"/>
      <c r="B20" s="165">
        <f>DATE(23,5,1)</f>
        <v>8522</v>
      </c>
      <c r="C20" s="226">
        <v>129125504.06999999</v>
      </c>
      <c r="D20" s="226">
        <v>12234027.800000001</v>
      </c>
      <c r="E20" s="226">
        <v>12488700.449999999</v>
      </c>
      <c r="F20" s="166">
        <f t="shared" si="0"/>
        <v>-2.0392245856132977E-2</v>
      </c>
      <c r="G20" s="241">
        <f t="shared" si="1"/>
        <v>9.4745247177256589E-2</v>
      </c>
      <c r="H20" s="242">
        <f t="shared" si="2"/>
        <v>0.90525475282274337</v>
      </c>
      <c r="I20" s="157"/>
    </row>
    <row r="21" spans="1:9" ht="15.75" thickBot="1" x14ac:dyDescent="0.25">
      <c r="A21" s="167"/>
      <c r="B21" s="168"/>
      <c r="C21" s="226"/>
      <c r="D21" s="226"/>
      <c r="E21" s="226"/>
      <c r="F21" s="166"/>
      <c r="G21" s="241"/>
      <c r="H21" s="242"/>
      <c r="I21" s="157"/>
    </row>
    <row r="22" spans="1:9" ht="17.25" thickTop="1" thickBot="1" x14ac:dyDescent="0.3">
      <c r="A22" s="169" t="s">
        <v>14</v>
      </c>
      <c r="B22" s="155"/>
      <c r="C22" s="223">
        <f>SUM(C10:C21)</f>
        <v>1390237504.77</v>
      </c>
      <c r="D22" s="223">
        <f>SUM(D10:D21)</f>
        <v>130578823.99000001</v>
      </c>
      <c r="E22" s="223">
        <f>SUM(E10:E21)</f>
        <v>134787738.34999999</v>
      </c>
      <c r="F22" s="170">
        <f>(+D22-E22)/E22</f>
        <v>-3.1226240691648081E-2</v>
      </c>
      <c r="G22" s="236">
        <f>D22/C22</f>
        <v>9.3925551239968083E-2</v>
      </c>
      <c r="H22" s="237">
        <f>1-G22</f>
        <v>0.90607444876003196</v>
      </c>
      <c r="I22" s="157"/>
    </row>
    <row r="23" spans="1:9" ht="15.75" thickTop="1" x14ac:dyDescent="0.2">
      <c r="A23" s="171"/>
      <c r="B23" s="172"/>
      <c r="C23" s="227"/>
      <c r="D23" s="227"/>
      <c r="E23" s="227"/>
      <c r="F23" s="173"/>
      <c r="G23" s="243"/>
      <c r="H23" s="244"/>
      <c r="I23" s="157"/>
    </row>
    <row r="24" spans="1:9" ht="15.75" x14ac:dyDescent="0.25">
      <c r="A24" s="19" t="s">
        <v>48</v>
      </c>
      <c r="B24" s="165">
        <f>DATE(22,7,1)</f>
        <v>8218</v>
      </c>
      <c r="C24" s="226">
        <v>76496067.980000004</v>
      </c>
      <c r="D24" s="226">
        <v>7757914.71</v>
      </c>
      <c r="E24" s="226">
        <v>7305624.1500000004</v>
      </c>
      <c r="F24" s="166">
        <f t="shared" ref="F24:F34" si="3">(+D24-E24)/E24</f>
        <v>6.1909913610871913E-2</v>
      </c>
      <c r="G24" s="241">
        <f t="shared" ref="G24:G34" si="4">D24/C24</f>
        <v>0.10141586247319688</v>
      </c>
      <c r="H24" s="242">
        <f t="shared" ref="H24:H34" si="5">1-G24</f>
        <v>0.89858413752680311</v>
      </c>
      <c r="I24" s="157"/>
    </row>
    <row r="25" spans="1:9" ht="15.75" x14ac:dyDescent="0.25">
      <c r="A25" s="19"/>
      <c r="B25" s="165">
        <f>DATE(22,8,1)</f>
        <v>8249</v>
      </c>
      <c r="C25" s="226">
        <v>71699704.189999998</v>
      </c>
      <c r="D25" s="226">
        <v>6870200.0300000003</v>
      </c>
      <c r="E25" s="226">
        <v>6574172.1100000003</v>
      </c>
      <c r="F25" s="166">
        <f t="shared" si="3"/>
        <v>4.5028927604391533E-2</v>
      </c>
      <c r="G25" s="241">
        <f t="shared" si="4"/>
        <v>9.5819084717481878E-2</v>
      </c>
      <c r="H25" s="242">
        <f t="shared" si="5"/>
        <v>0.90418091528251809</v>
      </c>
      <c r="I25" s="157"/>
    </row>
    <row r="26" spans="1:9" ht="15.75" x14ac:dyDescent="0.25">
      <c r="A26" s="19"/>
      <c r="B26" s="165">
        <f>DATE(22,9,1)</f>
        <v>8280</v>
      </c>
      <c r="C26" s="226">
        <v>72118161.129999995</v>
      </c>
      <c r="D26" s="226">
        <v>7013550.54</v>
      </c>
      <c r="E26" s="226">
        <v>6771046.1100000003</v>
      </c>
      <c r="F26" s="166">
        <f t="shared" si="3"/>
        <v>3.5814913391573361E-2</v>
      </c>
      <c r="G26" s="241">
        <f t="shared" si="4"/>
        <v>9.7250823233795344E-2</v>
      </c>
      <c r="H26" s="242">
        <f t="shared" si="5"/>
        <v>0.9027491767662047</v>
      </c>
      <c r="I26" s="157"/>
    </row>
    <row r="27" spans="1:9" ht="15.75" x14ac:dyDescent="0.25">
      <c r="A27" s="19"/>
      <c r="B27" s="165">
        <f>DATE(22,10,1)</f>
        <v>8310</v>
      </c>
      <c r="C27" s="226">
        <v>69505120.640000001</v>
      </c>
      <c r="D27" s="226">
        <v>6793373.3399999999</v>
      </c>
      <c r="E27" s="226">
        <v>7189129.7599999998</v>
      </c>
      <c r="F27" s="166">
        <f t="shared" si="3"/>
        <v>-5.5049280401359722E-2</v>
      </c>
      <c r="G27" s="241">
        <f t="shared" si="4"/>
        <v>9.7739177738948232E-2</v>
      </c>
      <c r="H27" s="242">
        <f t="shared" si="5"/>
        <v>0.90226082226105175</v>
      </c>
      <c r="I27" s="157"/>
    </row>
    <row r="28" spans="1:9" ht="15.75" x14ac:dyDescent="0.25">
      <c r="A28" s="19"/>
      <c r="B28" s="165">
        <f>DATE(22,11,1)</f>
        <v>8341</v>
      </c>
      <c r="C28" s="226">
        <v>63859122.32</v>
      </c>
      <c r="D28" s="226">
        <v>6317939.5599999996</v>
      </c>
      <c r="E28" s="226">
        <v>6088324.1399999997</v>
      </c>
      <c r="F28" s="166">
        <f t="shared" si="3"/>
        <v>3.7714059685396435E-2</v>
      </c>
      <c r="G28" s="241">
        <f t="shared" si="4"/>
        <v>9.8935583992849338E-2</v>
      </c>
      <c r="H28" s="242">
        <f t="shared" si="5"/>
        <v>0.9010644160071507</v>
      </c>
      <c r="I28" s="157"/>
    </row>
    <row r="29" spans="1:9" ht="15.75" x14ac:dyDescent="0.25">
      <c r="A29" s="19"/>
      <c r="B29" s="165">
        <f>DATE(22,12,1)</f>
        <v>8371</v>
      </c>
      <c r="C29" s="226">
        <v>67796886.079999998</v>
      </c>
      <c r="D29" s="226">
        <v>6662914.5199999996</v>
      </c>
      <c r="E29" s="226">
        <v>6682194.9000000004</v>
      </c>
      <c r="F29" s="166">
        <f t="shared" si="3"/>
        <v>-2.8853363735321185E-3</v>
      </c>
      <c r="G29" s="241">
        <f t="shared" si="4"/>
        <v>9.8277589211660729E-2</v>
      </c>
      <c r="H29" s="242">
        <f t="shared" si="5"/>
        <v>0.90172241078833926</v>
      </c>
      <c r="I29" s="157"/>
    </row>
    <row r="30" spans="1:9" ht="15.75" x14ac:dyDescent="0.25">
      <c r="A30" s="19"/>
      <c r="B30" s="165">
        <f>DATE(23,1,1)</f>
        <v>8402</v>
      </c>
      <c r="C30" s="226">
        <v>64800171.399999999</v>
      </c>
      <c r="D30" s="226">
        <v>6582615.0199999996</v>
      </c>
      <c r="E30" s="226">
        <v>5978134.6900000004</v>
      </c>
      <c r="F30" s="166">
        <f t="shared" si="3"/>
        <v>0.10111520755983487</v>
      </c>
      <c r="G30" s="241">
        <f t="shared" si="4"/>
        <v>0.10158329642936716</v>
      </c>
      <c r="H30" s="242">
        <f t="shared" si="5"/>
        <v>0.89841670357063286</v>
      </c>
      <c r="I30" s="157"/>
    </row>
    <row r="31" spans="1:9" ht="15.75" x14ac:dyDescent="0.25">
      <c r="A31" s="19"/>
      <c r="B31" s="165">
        <f>DATE(23,2,1)</f>
        <v>8433</v>
      </c>
      <c r="C31" s="226">
        <v>69503787.549999997</v>
      </c>
      <c r="D31" s="226">
        <v>7086159.2699999996</v>
      </c>
      <c r="E31" s="226">
        <v>6104570.21</v>
      </c>
      <c r="F31" s="166">
        <f t="shared" si="3"/>
        <v>0.16079576878189425</v>
      </c>
      <c r="G31" s="241">
        <f t="shared" si="4"/>
        <v>0.10195357001087633</v>
      </c>
      <c r="H31" s="242">
        <f t="shared" si="5"/>
        <v>0.89804642998912365</v>
      </c>
      <c r="I31" s="157"/>
    </row>
    <row r="32" spans="1:9" ht="15.75" x14ac:dyDescent="0.25">
      <c r="A32" s="19"/>
      <c r="B32" s="165">
        <f>DATE(23,3,1)</f>
        <v>8461</v>
      </c>
      <c r="C32" s="226">
        <v>75562804.870000005</v>
      </c>
      <c r="D32" s="226">
        <v>7680727.1699999999</v>
      </c>
      <c r="E32" s="226">
        <v>7172828.29</v>
      </c>
      <c r="F32" s="166">
        <f t="shared" si="3"/>
        <v>7.0808732548092251E-2</v>
      </c>
      <c r="G32" s="241">
        <f t="shared" si="4"/>
        <v>0.10164693043375111</v>
      </c>
      <c r="H32" s="242">
        <f t="shared" si="5"/>
        <v>0.89835306956624894</v>
      </c>
      <c r="I32" s="157"/>
    </row>
    <row r="33" spans="1:9" ht="15.75" x14ac:dyDescent="0.25">
      <c r="A33" s="19"/>
      <c r="B33" s="165">
        <f>DATE(23,4,1)</f>
        <v>8492</v>
      </c>
      <c r="C33" s="226">
        <v>72655852.510000005</v>
      </c>
      <c r="D33" s="226">
        <v>7426831.6100000003</v>
      </c>
      <c r="E33" s="226">
        <v>7550260.2599999998</v>
      </c>
      <c r="F33" s="166">
        <f t="shared" si="3"/>
        <v>-1.6347602036171326E-2</v>
      </c>
      <c r="G33" s="241">
        <f t="shared" si="4"/>
        <v>0.10221931686752704</v>
      </c>
      <c r="H33" s="242">
        <f t="shared" si="5"/>
        <v>0.89778068313247295</v>
      </c>
      <c r="I33" s="157"/>
    </row>
    <row r="34" spans="1:9" ht="15.75" x14ac:dyDescent="0.25">
      <c r="A34" s="19"/>
      <c r="B34" s="165">
        <f>DATE(23,5,1)</f>
        <v>8522</v>
      </c>
      <c r="C34" s="226">
        <v>68194308.519999996</v>
      </c>
      <c r="D34" s="226">
        <v>7036672.1100000003</v>
      </c>
      <c r="E34" s="226">
        <v>6555808.29</v>
      </c>
      <c r="F34" s="166">
        <f t="shared" si="3"/>
        <v>7.3349280321923546E-2</v>
      </c>
      <c r="G34" s="241">
        <f t="shared" si="4"/>
        <v>0.10318562153814183</v>
      </c>
      <c r="H34" s="242">
        <f t="shared" si="5"/>
        <v>0.89681437846185819</v>
      </c>
      <c r="I34" s="157"/>
    </row>
    <row r="35" spans="1:9" ht="15.75" thickBot="1" x14ac:dyDescent="0.25">
      <c r="A35" s="167"/>
      <c r="B35" s="165"/>
      <c r="C35" s="226"/>
      <c r="D35" s="226"/>
      <c r="E35" s="226"/>
      <c r="F35" s="166"/>
      <c r="G35" s="241"/>
      <c r="H35" s="242"/>
      <c r="I35" s="157"/>
    </row>
    <row r="36" spans="1:9" ht="17.25" thickTop="1" thickBot="1" x14ac:dyDescent="0.3">
      <c r="A36" s="169" t="s">
        <v>14</v>
      </c>
      <c r="B36" s="155"/>
      <c r="C36" s="223">
        <f>SUM(C24:C35)</f>
        <v>772191987.18999994</v>
      </c>
      <c r="D36" s="223">
        <f>SUM(D24:D35)</f>
        <v>77228897.879999995</v>
      </c>
      <c r="E36" s="223">
        <f>SUM(E24:E35)</f>
        <v>73972092.910000011</v>
      </c>
      <c r="F36" s="170">
        <f>(+D36-E36)/E36</f>
        <v>4.4027481741830084E-2</v>
      </c>
      <c r="G36" s="236">
        <f>D36/C36</f>
        <v>0.10001256055639129</v>
      </c>
      <c r="H36" s="237">
        <f>1-G36</f>
        <v>0.89998743944360871</v>
      </c>
      <c r="I36" s="157"/>
    </row>
    <row r="37" spans="1:9" ht="15.75" thickTop="1" x14ac:dyDescent="0.2">
      <c r="A37" s="171"/>
      <c r="B37" s="172"/>
      <c r="C37" s="227"/>
      <c r="D37" s="227"/>
      <c r="E37" s="227"/>
      <c r="F37" s="173"/>
      <c r="G37" s="243"/>
      <c r="H37" s="244"/>
      <c r="I37" s="157"/>
    </row>
    <row r="38" spans="1:9" ht="15.75" x14ac:dyDescent="0.25">
      <c r="A38" s="19" t="s">
        <v>62</v>
      </c>
      <c r="B38" s="165">
        <f>DATE(22,7,1)</f>
        <v>8218</v>
      </c>
      <c r="C38" s="226">
        <v>35430502.560000002</v>
      </c>
      <c r="D38" s="226">
        <v>3537425.2</v>
      </c>
      <c r="E38" s="226">
        <v>4179858.95</v>
      </c>
      <c r="F38" s="166">
        <f t="shared" ref="F38:F48" si="6">(+D38-E38)/E38</f>
        <v>-0.15369747105940021</v>
      </c>
      <c r="G38" s="241">
        <f t="shared" ref="G38:G45" si="7">D38/C38</f>
        <v>9.9841236911881945E-2</v>
      </c>
      <c r="H38" s="242">
        <f t="shared" ref="H38:H45" si="8">1-G38</f>
        <v>0.90015876308811804</v>
      </c>
      <c r="I38" s="157"/>
    </row>
    <row r="39" spans="1:9" ht="15.75" x14ac:dyDescent="0.25">
      <c r="A39" s="19"/>
      <c r="B39" s="165">
        <f>DATE(22,8,1)</f>
        <v>8249</v>
      </c>
      <c r="C39" s="226">
        <v>31830509.120000001</v>
      </c>
      <c r="D39" s="226">
        <v>3224518.01</v>
      </c>
      <c r="E39" s="226">
        <v>3554355.99</v>
      </c>
      <c r="F39" s="166">
        <f t="shared" si="6"/>
        <v>-9.2798239942195673E-2</v>
      </c>
      <c r="G39" s="241">
        <f t="shared" si="7"/>
        <v>0.10130274692885589</v>
      </c>
      <c r="H39" s="242">
        <f t="shared" si="8"/>
        <v>0.89869725307114412</v>
      </c>
      <c r="I39" s="157"/>
    </row>
    <row r="40" spans="1:9" ht="15.75" x14ac:dyDescent="0.25">
      <c r="A40" s="19"/>
      <c r="B40" s="165">
        <f>DATE(22,9,1)</f>
        <v>8280</v>
      </c>
      <c r="C40" s="226">
        <v>31336078.07</v>
      </c>
      <c r="D40" s="226">
        <v>3285954.25</v>
      </c>
      <c r="E40" s="226">
        <v>3815155.29</v>
      </c>
      <c r="F40" s="166">
        <f t="shared" si="6"/>
        <v>-0.13871022272333247</v>
      </c>
      <c r="G40" s="241">
        <f t="shared" si="7"/>
        <v>0.10486169464665238</v>
      </c>
      <c r="H40" s="242">
        <f t="shared" si="8"/>
        <v>0.8951383053533476</v>
      </c>
      <c r="I40" s="157"/>
    </row>
    <row r="41" spans="1:9" ht="15.75" x14ac:dyDescent="0.25">
      <c r="A41" s="19"/>
      <c r="B41" s="165">
        <f>DATE(22,10,1)</f>
        <v>8310</v>
      </c>
      <c r="C41" s="226">
        <v>31389480.809999999</v>
      </c>
      <c r="D41" s="226">
        <v>3155435.74</v>
      </c>
      <c r="E41" s="226">
        <v>3758784.61</v>
      </c>
      <c r="F41" s="166">
        <f t="shared" si="6"/>
        <v>-0.1605170108430341</v>
      </c>
      <c r="G41" s="241">
        <f t="shared" si="7"/>
        <v>0.10052526064702376</v>
      </c>
      <c r="H41" s="242">
        <f t="shared" si="8"/>
        <v>0.89947473935297628</v>
      </c>
      <c r="I41" s="157"/>
    </row>
    <row r="42" spans="1:9" ht="15.75" x14ac:dyDescent="0.25">
      <c r="A42" s="19"/>
      <c r="B42" s="165">
        <f>DATE(22,11,1)</f>
        <v>8341</v>
      </c>
      <c r="C42" s="226">
        <v>26208826.050000001</v>
      </c>
      <c r="D42" s="226">
        <v>2805588.39</v>
      </c>
      <c r="E42" s="226">
        <v>3347078.48</v>
      </c>
      <c r="F42" s="166">
        <f t="shared" si="6"/>
        <v>-0.16177992037999656</v>
      </c>
      <c r="G42" s="241">
        <f t="shared" si="7"/>
        <v>0.10704746502753029</v>
      </c>
      <c r="H42" s="242">
        <f t="shared" si="8"/>
        <v>0.89295253497246974</v>
      </c>
      <c r="I42" s="157"/>
    </row>
    <row r="43" spans="1:9" ht="15.75" x14ac:dyDescent="0.25">
      <c r="A43" s="19"/>
      <c r="B43" s="165">
        <f>DATE(22,12,1)</f>
        <v>8371</v>
      </c>
      <c r="C43" s="226">
        <v>26575799.629999999</v>
      </c>
      <c r="D43" s="226">
        <v>2840105.54</v>
      </c>
      <c r="E43" s="226">
        <v>3599731.36</v>
      </c>
      <c r="F43" s="166">
        <f t="shared" si="6"/>
        <v>-0.2110229192213943</v>
      </c>
      <c r="G43" s="241">
        <f t="shared" si="7"/>
        <v>0.10686811232554436</v>
      </c>
      <c r="H43" s="242">
        <f t="shared" si="8"/>
        <v>0.89313188767445562</v>
      </c>
      <c r="I43" s="157"/>
    </row>
    <row r="44" spans="1:9" ht="15.75" x14ac:dyDescent="0.25">
      <c r="A44" s="19"/>
      <c r="B44" s="165">
        <f>DATE(23,1,1)</f>
        <v>8402</v>
      </c>
      <c r="C44" s="226">
        <v>31328848.890000001</v>
      </c>
      <c r="D44" s="226">
        <v>3252604.7</v>
      </c>
      <c r="E44" s="226">
        <v>3120845.46</v>
      </c>
      <c r="F44" s="166">
        <f t="shared" si="6"/>
        <v>4.2219085080874276E-2</v>
      </c>
      <c r="G44" s="241">
        <f t="shared" si="7"/>
        <v>0.10382139195156366</v>
      </c>
      <c r="H44" s="242">
        <f t="shared" si="8"/>
        <v>0.8961786080484363</v>
      </c>
      <c r="I44" s="157"/>
    </row>
    <row r="45" spans="1:9" ht="15.75" x14ac:dyDescent="0.25">
      <c r="A45" s="19"/>
      <c r="B45" s="165">
        <f>DATE(23,2,1)</f>
        <v>8433</v>
      </c>
      <c r="C45" s="226">
        <v>34355286.020000003</v>
      </c>
      <c r="D45" s="226">
        <v>3650464.97</v>
      </c>
      <c r="E45" s="226">
        <v>3529009.1</v>
      </c>
      <c r="F45" s="166">
        <f t="shared" si="6"/>
        <v>3.4416423012340804E-2</v>
      </c>
      <c r="G45" s="241">
        <f t="shared" si="7"/>
        <v>0.10625628230470485</v>
      </c>
      <c r="H45" s="242">
        <f t="shared" si="8"/>
        <v>0.89374371769529515</v>
      </c>
      <c r="I45" s="157"/>
    </row>
    <row r="46" spans="1:9" ht="15.75" x14ac:dyDescent="0.25">
      <c r="A46" s="19"/>
      <c r="B46" s="165">
        <f>DATE(23,3,1)</f>
        <v>8461</v>
      </c>
      <c r="C46" s="291">
        <v>38300920.039999999</v>
      </c>
      <c r="D46" s="226">
        <v>4184272.39</v>
      </c>
      <c r="E46" s="226">
        <v>4379101.5599999996</v>
      </c>
      <c r="F46" s="166">
        <f t="shared" si="6"/>
        <v>-4.4490671734957313E-2</v>
      </c>
      <c r="G46" s="241">
        <f>D46/C46</f>
        <v>0.10924730752238088</v>
      </c>
      <c r="H46" s="242">
        <f>1-G46</f>
        <v>0.89075269247761912</v>
      </c>
      <c r="I46" s="157"/>
    </row>
    <row r="47" spans="1:9" ht="15.75" x14ac:dyDescent="0.25">
      <c r="A47" s="19"/>
      <c r="B47" s="165">
        <f>DATE(23,4,1)</f>
        <v>8492</v>
      </c>
      <c r="C47" s="291">
        <v>35331598.329999998</v>
      </c>
      <c r="D47" s="226">
        <v>3709089.71</v>
      </c>
      <c r="E47" s="226">
        <v>3978475.16</v>
      </c>
      <c r="F47" s="166">
        <f t="shared" si="6"/>
        <v>-6.771072814741419E-2</v>
      </c>
      <c r="G47" s="241">
        <f>D47/C47</f>
        <v>0.10497939196966978</v>
      </c>
      <c r="H47" s="242">
        <f>1-G47</f>
        <v>0.89502060803033023</v>
      </c>
      <c r="I47" s="157"/>
    </row>
    <row r="48" spans="1:9" ht="15.75" x14ac:dyDescent="0.25">
      <c r="A48" s="19"/>
      <c r="B48" s="165">
        <f>DATE(23,5,1)</f>
        <v>8522</v>
      </c>
      <c r="C48" s="291">
        <v>34049126.399999999</v>
      </c>
      <c r="D48" s="226">
        <v>3621106.1</v>
      </c>
      <c r="E48" s="226">
        <v>3652765.18</v>
      </c>
      <c r="F48" s="166">
        <f t="shared" si="6"/>
        <v>-8.6671544542044916E-3</v>
      </c>
      <c r="G48" s="241">
        <f>D48/C48</f>
        <v>0.10634945688356927</v>
      </c>
      <c r="H48" s="242">
        <f>1-G48</f>
        <v>0.89365054311643077</v>
      </c>
      <c r="I48" s="157"/>
    </row>
    <row r="49" spans="1:9" ht="15.75" thickBot="1" x14ac:dyDescent="0.25">
      <c r="A49" s="167"/>
      <c r="B49" s="165"/>
      <c r="C49" s="226"/>
      <c r="D49" s="226"/>
      <c r="E49" s="226"/>
      <c r="F49" s="166"/>
      <c r="G49" s="241"/>
      <c r="H49" s="242"/>
      <c r="I49" s="157"/>
    </row>
    <row r="50" spans="1:9" ht="17.25" thickTop="1" thickBot="1" x14ac:dyDescent="0.3">
      <c r="A50" s="174" t="s">
        <v>14</v>
      </c>
      <c r="B50" s="175"/>
      <c r="C50" s="228">
        <f>SUM(C38:C49)</f>
        <v>356136975.91999996</v>
      </c>
      <c r="D50" s="228">
        <f>SUM(D38:D49)</f>
        <v>37266565</v>
      </c>
      <c r="E50" s="228">
        <f>SUM(E38:E49)</f>
        <v>40915161.140000001</v>
      </c>
      <c r="F50" s="176">
        <f>(+D50-E50)/E50</f>
        <v>-8.9174673601199961E-2</v>
      </c>
      <c r="G50" s="245">
        <f>D50/C50</f>
        <v>0.10464110025006584</v>
      </c>
      <c r="H50" s="246">
        <f>1-G50</f>
        <v>0.89535889974993421</v>
      </c>
      <c r="I50" s="157"/>
    </row>
    <row r="51" spans="1:9" ht="15.75" thickTop="1" x14ac:dyDescent="0.2">
      <c r="A51" s="167"/>
      <c r="B51" s="168"/>
      <c r="C51" s="226"/>
      <c r="D51" s="226"/>
      <c r="E51" s="226"/>
      <c r="F51" s="166"/>
      <c r="G51" s="241"/>
      <c r="H51" s="242"/>
      <c r="I51" s="157"/>
    </row>
    <row r="52" spans="1:9" ht="15.75" x14ac:dyDescent="0.25">
      <c r="A52" s="177" t="s">
        <v>58</v>
      </c>
      <c r="B52" s="165">
        <f>DATE(22,7,1)</f>
        <v>8218</v>
      </c>
      <c r="C52" s="226">
        <v>201538093.34999999</v>
      </c>
      <c r="D52" s="226">
        <v>17880290.199999999</v>
      </c>
      <c r="E52" s="226">
        <v>16788708.57</v>
      </c>
      <c r="F52" s="166">
        <f t="shared" ref="F52:F62" si="9">(+D52-E52)/E52</f>
        <v>6.5018796737621787E-2</v>
      </c>
      <c r="G52" s="241">
        <f t="shared" ref="G52:G62" si="10">D52/C52</f>
        <v>8.8719159255656418E-2</v>
      </c>
      <c r="H52" s="242">
        <f t="shared" ref="H52:H62" si="11">1-G52</f>
        <v>0.91128084074434357</v>
      </c>
      <c r="I52" s="157"/>
    </row>
    <row r="53" spans="1:9" ht="15.75" x14ac:dyDescent="0.25">
      <c r="A53" s="177"/>
      <c r="B53" s="165">
        <f>DATE(22,8,1)</f>
        <v>8249</v>
      </c>
      <c r="C53" s="226">
        <v>184867734.87</v>
      </c>
      <c r="D53" s="226">
        <v>17060867.379999999</v>
      </c>
      <c r="E53" s="226">
        <v>15228470.93</v>
      </c>
      <c r="F53" s="166">
        <f t="shared" si="9"/>
        <v>0.12032701499860954</v>
      </c>
      <c r="G53" s="241">
        <f t="shared" si="10"/>
        <v>9.2286884955870174E-2</v>
      </c>
      <c r="H53" s="242">
        <f t="shared" si="11"/>
        <v>0.90771311504412977</v>
      </c>
      <c r="I53" s="157"/>
    </row>
    <row r="54" spans="1:9" ht="15.75" x14ac:dyDescent="0.25">
      <c r="A54" s="177"/>
      <c r="B54" s="165">
        <f>DATE(22,9,1)</f>
        <v>8280</v>
      </c>
      <c r="C54" s="226">
        <v>181026457.53999999</v>
      </c>
      <c r="D54" s="226">
        <v>17061917.539999999</v>
      </c>
      <c r="E54" s="226">
        <v>16699713.119999999</v>
      </c>
      <c r="F54" s="166">
        <f t="shared" si="9"/>
        <v>2.168926001286901E-2</v>
      </c>
      <c r="G54" s="241">
        <f t="shared" si="10"/>
        <v>9.4250960726168773E-2</v>
      </c>
      <c r="H54" s="242">
        <f t="shared" si="11"/>
        <v>0.90574903927383121</v>
      </c>
      <c r="I54" s="157"/>
    </row>
    <row r="55" spans="1:9" ht="15.75" x14ac:dyDescent="0.25">
      <c r="A55" s="177"/>
      <c r="B55" s="165">
        <f>DATE(22,10,1)</f>
        <v>8310</v>
      </c>
      <c r="C55" s="226">
        <v>173386132.72999999</v>
      </c>
      <c r="D55" s="226">
        <v>16341780.85</v>
      </c>
      <c r="E55" s="226">
        <v>16704308.949999999</v>
      </c>
      <c r="F55" s="166">
        <f t="shared" si="9"/>
        <v>-2.1702669717444351E-2</v>
      </c>
      <c r="G55" s="241">
        <f t="shared" si="10"/>
        <v>9.4250794989745312E-2</v>
      </c>
      <c r="H55" s="242">
        <f t="shared" si="11"/>
        <v>0.90574920501025469</v>
      </c>
      <c r="I55" s="157"/>
    </row>
    <row r="56" spans="1:9" ht="15.75" x14ac:dyDescent="0.25">
      <c r="A56" s="177"/>
      <c r="B56" s="165">
        <f>DATE(22,11,1)</f>
        <v>8341</v>
      </c>
      <c r="C56" s="226">
        <v>167573650.06999999</v>
      </c>
      <c r="D56" s="226">
        <v>14923708.42</v>
      </c>
      <c r="E56" s="226">
        <v>15419780.210000001</v>
      </c>
      <c r="F56" s="166">
        <f t="shared" si="9"/>
        <v>-3.2171132353643384E-2</v>
      </c>
      <c r="G56" s="241">
        <f t="shared" si="10"/>
        <v>8.9057607886239676E-2</v>
      </c>
      <c r="H56" s="242">
        <f t="shared" si="11"/>
        <v>0.91094239211376027</v>
      </c>
      <c r="I56" s="157"/>
    </row>
    <row r="57" spans="1:9" ht="15.75" x14ac:dyDescent="0.25">
      <c r="A57" s="177"/>
      <c r="B57" s="165">
        <f>DATE(22,12,1)</f>
        <v>8371</v>
      </c>
      <c r="C57" s="226">
        <v>179839316.61000001</v>
      </c>
      <c r="D57" s="226">
        <v>16991042.620000001</v>
      </c>
      <c r="E57" s="226">
        <v>17100191.719999999</v>
      </c>
      <c r="F57" s="166">
        <f t="shared" si="9"/>
        <v>-6.3829167407719435E-3</v>
      </c>
      <c r="G57" s="241">
        <f t="shared" si="10"/>
        <v>9.4479021274568226E-2</v>
      </c>
      <c r="H57" s="242">
        <f t="shared" si="11"/>
        <v>0.9055209787254318</v>
      </c>
      <c r="I57" s="157"/>
    </row>
    <row r="58" spans="1:9" ht="15.75" x14ac:dyDescent="0.25">
      <c r="A58" s="177"/>
      <c r="B58" s="165">
        <f>DATE(23,1,1)</f>
        <v>8402</v>
      </c>
      <c r="C58" s="226">
        <v>175026046.66</v>
      </c>
      <c r="D58" s="226">
        <v>15916443.26</v>
      </c>
      <c r="E58" s="226">
        <v>15681818.640000001</v>
      </c>
      <c r="F58" s="166">
        <f t="shared" si="9"/>
        <v>1.4961569533876408E-2</v>
      </c>
      <c r="G58" s="241">
        <f t="shared" si="10"/>
        <v>9.0937569371710561E-2</v>
      </c>
      <c r="H58" s="242">
        <f t="shared" si="11"/>
        <v>0.9090624306282894</v>
      </c>
      <c r="I58" s="157"/>
    </row>
    <row r="59" spans="1:9" ht="15.75" x14ac:dyDescent="0.25">
      <c r="A59" s="177"/>
      <c r="B59" s="165">
        <f>DATE(23,2,1)</f>
        <v>8433</v>
      </c>
      <c r="C59" s="226">
        <v>183497812.37</v>
      </c>
      <c r="D59" s="226">
        <v>16968749.350000001</v>
      </c>
      <c r="E59" s="226">
        <v>15007235.039999999</v>
      </c>
      <c r="F59" s="166">
        <f t="shared" si="9"/>
        <v>0.13070457714374561</v>
      </c>
      <c r="G59" s="241">
        <f t="shared" si="10"/>
        <v>9.247385094588853E-2</v>
      </c>
      <c r="H59" s="242">
        <f t="shared" si="11"/>
        <v>0.90752614905411144</v>
      </c>
      <c r="I59" s="157"/>
    </row>
    <row r="60" spans="1:9" ht="15.75" x14ac:dyDescent="0.25">
      <c r="A60" s="177"/>
      <c r="B60" s="165">
        <f>DATE(23,3,1)</f>
        <v>8461</v>
      </c>
      <c r="C60" s="226">
        <v>212533156.94999999</v>
      </c>
      <c r="D60" s="226">
        <v>19124762.489999998</v>
      </c>
      <c r="E60" s="226">
        <v>19277164.579999998</v>
      </c>
      <c r="F60" s="166">
        <f t="shared" si="9"/>
        <v>-7.9058353923126528E-3</v>
      </c>
      <c r="G60" s="241">
        <f t="shared" si="10"/>
        <v>8.9984841727539205E-2</v>
      </c>
      <c r="H60" s="242">
        <f t="shared" si="11"/>
        <v>0.91001515827246082</v>
      </c>
      <c r="I60" s="157"/>
    </row>
    <row r="61" spans="1:9" ht="15.75" x14ac:dyDescent="0.25">
      <c r="A61" s="177"/>
      <c r="B61" s="165">
        <f>DATE(23,4,1)</f>
        <v>8492</v>
      </c>
      <c r="C61" s="226">
        <v>196392791</v>
      </c>
      <c r="D61" s="226">
        <v>18086108.760000002</v>
      </c>
      <c r="E61" s="226">
        <v>19150089.609999999</v>
      </c>
      <c r="F61" s="166">
        <f t="shared" si="9"/>
        <v>-5.5560097715908169E-2</v>
      </c>
      <c r="G61" s="241">
        <f t="shared" si="10"/>
        <v>9.2091510426164272E-2</v>
      </c>
      <c r="H61" s="242">
        <f t="shared" si="11"/>
        <v>0.90790848957383574</v>
      </c>
      <c r="I61" s="157"/>
    </row>
    <row r="62" spans="1:9" ht="15.75" x14ac:dyDescent="0.25">
      <c r="A62" s="177"/>
      <c r="B62" s="165">
        <f>DATE(23,5,1)</f>
        <v>8522</v>
      </c>
      <c r="C62" s="226">
        <v>197178555.13</v>
      </c>
      <c r="D62" s="226">
        <v>18258334.57</v>
      </c>
      <c r="E62" s="226">
        <v>17913916.41</v>
      </c>
      <c r="F62" s="166">
        <f t="shared" si="9"/>
        <v>1.9226290450241091E-2</v>
      </c>
      <c r="G62" s="241">
        <f t="shared" si="10"/>
        <v>9.2597973232749695E-2</v>
      </c>
      <c r="H62" s="242">
        <f t="shared" si="11"/>
        <v>0.90740202676725035</v>
      </c>
      <c r="I62" s="157"/>
    </row>
    <row r="63" spans="1:9" ht="15.75" thickBot="1" x14ac:dyDescent="0.25">
      <c r="A63" s="167"/>
      <c r="B63" s="168"/>
      <c r="C63" s="226"/>
      <c r="D63" s="226"/>
      <c r="E63" s="226"/>
      <c r="F63" s="166"/>
      <c r="G63" s="241"/>
      <c r="H63" s="242"/>
      <c r="I63" s="157"/>
    </row>
    <row r="64" spans="1:9" ht="17.25" thickTop="1" thickBot="1" x14ac:dyDescent="0.3">
      <c r="A64" s="174" t="s">
        <v>14</v>
      </c>
      <c r="B64" s="178"/>
      <c r="C64" s="228">
        <f>SUM(C52:C63)</f>
        <v>2052859747.2800002</v>
      </c>
      <c r="D64" s="228">
        <f>SUM(D52:D63)</f>
        <v>188614005.44</v>
      </c>
      <c r="E64" s="228">
        <f>SUM(E52:E63)</f>
        <v>184971397.78</v>
      </c>
      <c r="F64" s="176">
        <f>(+D64-E64)/E64</f>
        <v>1.9692815774319961E-2</v>
      </c>
      <c r="G64" s="245">
        <f>D64/C64</f>
        <v>9.1878661311329199E-2</v>
      </c>
      <c r="H64" s="246">
        <f>1-G64</f>
        <v>0.90812133868867084</v>
      </c>
      <c r="I64" s="157"/>
    </row>
    <row r="65" spans="1:9" ht="15.75" thickTop="1" x14ac:dyDescent="0.2">
      <c r="A65" s="167"/>
      <c r="B65" s="168"/>
      <c r="C65" s="226"/>
      <c r="D65" s="226"/>
      <c r="E65" s="226"/>
      <c r="F65" s="166"/>
      <c r="G65" s="241"/>
      <c r="H65" s="242"/>
      <c r="I65" s="157"/>
    </row>
    <row r="66" spans="1:9" ht="15.75" x14ac:dyDescent="0.25">
      <c r="A66" s="164" t="s">
        <v>60</v>
      </c>
      <c r="B66" s="165">
        <f>DATE(22,7,1)</f>
        <v>8218</v>
      </c>
      <c r="C66" s="226">
        <v>121501837.18000001</v>
      </c>
      <c r="D66" s="226">
        <v>11877741.560000001</v>
      </c>
      <c r="E66" s="226">
        <v>12735420.67</v>
      </c>
      <c r="F66" s="166">
        <f t="shared" ref="F66:F76" si="12">(+D66-E66)/E66</f>
        <v>-6.7345958349093099E-2</v>
      </c>
      <c r="G66" s="241">
        <f t="shared" ref="G66:G76" si="13">D66/C66</f>
        <v>9.7757711617180013E-2</v>
      </c>
      <c r="H66" s="242">
        <f t="shared" ref="H66:H76" si="14">1-G66</f>
        <v>0.90224228838281995</v>
      </c>
      <c r="I66" s="157"/>
    </row>
    <row r="67" spans="1:9" ht="15.75" x14ac:dyDescent="0.25">
      <c r="A67" s="164"/>
      <c r="B67" s="165">
        <f>DATE(22,8,1)</f>
        <v>8249</v>
      </c>
      <c r="C67" s="226">
        <v>118750548.98999999</v>
      </c>
      <c r="D67" s="226">
        <v>11399779.33</v>
      </c>
      <c r="E67" s="226">
        <v>11645905.550000001</v>
      </c>
      <c r="F67" s="166">
        <f t="shared" si="12"/>
        <v>-2.113414186155757E-2</v>
      </c>
      <c r="G67" s="241">
        <f t="shared" si="13"/>
        <v>9.5997697921884784E-2</v>
      </c>
      <c r="H67" s="242">
        <f t="shared" si="14"/>
        <v>0.90400230207811516</v>
      </c>
      <c r="I67" s="157"/>
    </row>
    <row r="68" spans="1:9" ht="15.75" x14ac:dyDescent="0.25">
      <c r="A68" s="164"/>
      <c r="B68" s="165">
        <f>DATE(22,9,1)</f>
        <v>8280</v>
      </c>
      <c r="C68" s="226">
        <v>118393348.34</v>
      </c>
      <c r="D68" s="226">
        <v>10069352.810000001</v>
      </c>
      <c r="E68" s="226">
        <v>11184280.18</v>
      </c>
      <c r="F68" s="166">
        <f t="shared" si="12"/>
        <v>-9.9687002834007971E-2</v>
      </c>
      <c r="G68" s="241">
        <f t="shared" si="13"/>
        <v>8.5049987614870093E-2</v>
      </c>
      <c r="H68" s="242">
        <f t="shared" si="14"/>
        <v>0.91495001238512996</v>
      </c>
      <c r="I68" s="157"/>
    </row>
    <row r="69" spans="1:9" ht="15.75" x14ac:dyDescent="0.25">
      <c r="A69" s="164"/>
      <c r="B69" s="165">
        <f>DATE(22,10,1)</f>
        <v>8310</v>
      </c>
      <c r="C69" s="226">
        <v>113325190.2</v>
      </c>
      <c r="D69" s="226">
        <v>10695374.6</v>
      </c>
      <c r="E69" s="226">
        <v>11396005.27</v>
      </c>
      <c r="F69" s="166">
        <f t="shared" si="12"/>
        <v>-6.1480374341736324E-2</v>
      </c>
      <c r="G69" s="241">
        <f t="shared" si="13"/>
        <v>9.4377733504126066E-2</v>
      </c>
      <c r="H69" s="242">
        <f t="shared" si="14"/>
        <v>0.90562226649587396</v>
      </c>
      <c r="I69" s="157"/>
    </row>
    <row r="70" spans="1:9" ht="15.75" x14ac:dyDescent="0.25">
      <c r="A70" s="164"/>
      <c r="B70" s="165">
        <f>DATE(22,11,1)</f>
        <v>8341</v>
      </c>
      <c r="C70" s="226">
        <v>111643931.18000001</v>
      </c>
      <c r="D70" s="226">
        <v>10611649.119999999</v>
      </c>
      <c r="E70" s="226">
        <v>11134846.92</v>
      </c>
      <c r="F70" s="166">
        <f t="shared" si="12"/>
        <v>-4.6987426388435768E-2</v>
      </c>
      <c r="G70" s="241">
        <f t="shared" si="13"/>
        <v>9.5049045728165651E-2</v>
      </c>
      <c r="H70" s="242">
        <f t="shared" si="14"/>
        <v>0.90495095427183436</v>
      </c>
      <c r="I70" s="157"/>
    </row>
    <row r="71" spans="1:9" ht="15.75" x14ac:dyDescent="0.25">
      <c r="A71" s="164"/>
      <c r="B71" s="165">
        <f>DATE(22,12,1)</f>
        <v>8371</v>
      </c>
      <c r="C71" s="226">
        <v>116948326.45</v>
      </c>
      <c r="D71" s="226">
        <v>11067872.5</v>
      </c>
      <c r="E71" s="226">
        <v>11993406.699999999</v>
      </c>
      <c r="F71" s="166">
        <f t="shared" si="12"/>
        <v>-7.7170250551079816E-2</v>
      </c>
      <c r="G71" s="241">
        <f t="shared" si="13"/>
        <v>9.4638998572860719E-2</v>
      </c>
      <c r="H71" s="242">
        <f t="shared" si="14"/>
        <v>0.90536100142713927</v>
      </c>
      <c r="I71" s="157"/>
    </row>
    <row r="72" spans="1:9" ht="15.75" x14ac:dyDescent="0.25">
      <c r="A72" s="164"/>
      <c r="B72" s="165">
        <f>DATE(23,1,1)</f>
        <v>8402</v>
      </c>
      <c r="C72" s="226">
        <v>110269909.43000001</v>
      </c>
      <c r="D72" s="226">
        <v>10685663.300000001</v>
      </c>
      <c r="E72" s="226">
        <v>10442254.630000001</v>
      </c>
      <c r="F72" s="166">
        <f t="shared" si="12"/>
        <v>2.330997266631487E-2</v>
      </c>
      <c r="G72" s="241">
        <f t="shared" si="13"/>
        <v>9.6904616637808375E-2</v>
      </c>
      <c r="H72" s="242">
        <f t="shared" si="14"/>
        <v>0.90309538336219164</v>
      </c>
      <c r="I72" s="157"/>
    </row>
    <row r="73" spans="1:9" ht="15.75" x14ac:dyDescent="0.25">
      <c r="A73" s="164"/>
      <c r="B73" s="165">
        <f>DATE(23,2,1)</f>
        <v>8433</v>
      </c>
      <c r="C73" s="226">
        <v>108459543.72</v>
      </c>
      <c r="D73" s="226">
        <v>10567662.619999999</v>
      </c>
      <c r="E73" s="226">
        <v>10124033.77</v>
      </c>
      <c r="F73" s="166">
        <f t="shared" si="12"/>
        <v>4.3819376750261436E-2</v>
      </c>
      <c r="G73" s="241">
        <f t="shared" si="13"/>
        <v>9.7434142331278464E-2</v>
      </c>
      <c r="H73" s="242">
        <f t="shared" si="14"/>
        <v>0.90256585766872155</v>
      </c>
      <c r="I73" s="157"/>
    </row>
    <row r="74" spans="1:9" ht="15.75" x14ac:dyDescent="0.25">
      <c r="A74" s="164"/>
      <c r="B74" s="165">
        <f>DATE(23,3,1)</f>
        <v>8461</v>
      </c>
      <c r="C74" s="226">
        <v>128565630.51000001</v>
      </c>
      <c r="D74" s="226">
        <v>12565055.32</v>
      </c>
      <c r="E74" s="226">
        <v>12312940.59</v>
      </c>
      <c r="F74" s="166">
        <f t="shared" si="12"/>
        <v>2.047559055103022E-2</v>
      </c>
      <c r="G74" s="241">
        <f t="shared" si="13"/>
        <v>9.7732615397726166E-2</v>
      </c>
      <c r="H74" s="242">
        <f t="shared" si="14"/>
        <v>0.90226738460227385</v>
      </c>
      <c r="I74" s="157"/>
    </row>
    <row r="75" spans="1:9" ht="15.75" x14ac:dyDescent="0.25">
      <c r="A75" s="164"/>
      <c r="B75" s="165">
        <f>DATE(23,4,1)</f>
        <v>8492</v>
      </c>
      <c r="C75" s="226">
        <v>116587454.37</v>
      </c>
      <c r="D75" s="226">
        <v>11102592.5</v>
      </c>
      <c r="E75" s="226">
        <v>12424611.6</v>
      </c>
      <c r="F75" s="166">
        <f t="shared" si="12"/>
        <v>-0.10640325368400246</v>
      </c>
      <c r="G75" s="241">
        <f t="shared" si="13"/>
        <v>9.5229735995135442E-2</v>
      </c>
      <c r="H75" s="242">
        <f t="shared" si="14"/>
        <v>0.9047702640048646</v>
      </c>
      <c r="I75" s="157"/>
    </row>
    <row r="76" spans="1:9" ht="15.75" x14ac:dyDescent="0.25">
      <c r="A76" s="164"/>
      <c r="B76" s="165">
        <f>DATE(23,5,1)</f>
        <v>8522</v>
      </c>
      <c r="C76" s="226">
        <v>113614739.72</v>
      </c>
      <c r="D76" s="226">
        <v>10673361.42</v>
      </c>
      <c r="E76" s="226">
        <v>11818816.789999999</v>
      </c>
      <c r="F76" s="166">
        <f t="shared" si="12"/>
        <v>-9.6917939447980841E-2</v>
      </c>
      <c r="G76" s="241">
        <f t="shared" si="13"/>
        <v>9.3943457040029918E-2</v>
      </c>
      <c r="H76" s="242">
        <f t="shared" si="14"/>
        <v>0.90605654295997007</v>
      </c>
      <c r="I76" s="157"/>
    </row>
    <row r="77" spans="1:9" ht="15.75" thickBot="1" x14ac:dyDescent="0.25">
      <c r="A77" s="167"/>
      <c r="B77" s="165"/>
      <c r="C77" s="226"/>
      <c r="D77" s="226"/>
      <c r="E77" s="226"/>
      <c r="F77" s="166"/>
      <c r="G77" s="241"/>
      <c r="H77" s="242"/>
      <c r="I77" s="157"/>
    </row>
    <row r="78" spans="1:9" ht="17.25" thickTop="1" thickBot="1" x14ac:dyDescent="0.3">
      <c r="A78" s="174" t="s">
        <v>14</v>
      </c>
      <c r="B78" s="175"/>
      <c r="C78" s="228">
        <f>SUM(C66:C77)</f>
        <v>1278060460.0899999</v>
      </c>
      <c r="D78" s="230">
        <f>SUM(D66:D77)</f>
        <v>121316105.08</v>
      </c>
      <c r="E78" s="271">
        <f>SUM(E66:E77)</f>
        <v>127212522.66999999</v>
      </c>
      <c r="F78" s="272">
        <f>(+D78-E78)/E78</f>
        <v>-4.6350921011886488E-2</v>
      </c>
      <c r="G78" s="249">
        <f>D78/C78</f>
        <v>9.4922039190115479E-2</v>
      </c>
      <c r="H78" s="270">
        <f>1-G78</f>
        <v>0.90507796080988456</v>
      </c>
      <c r="I78" s="157"/>
    </row>
    <row r="79" spans="1:9" ht="15.75" thickTop="1" x14ac:dyDescent="0.2">
      <c r="A79" s="167"/>
      <c r="B79" s="168"/>
      <c r="C79" s="226"/>
      <c r="D79" s="226"/>
      <c r="E79" s="226"/>
      <c r="F79" s="166"/>
      <c r="G79" s="241"/>
      <c r="H79" s="242"/>
      <c r="I79" s="157"/>
    </row>
    <row r="80" spans="1:9" ht="15.75" x14ac:dyDescent="0.25">
      <c r="A80" s="164" t="s">
        <v>64</v>
      </c>
      <c r="B80" s="165">
        <f>DATE(22,7,1)</f>
        <v>8218</v>
      </c>
      <c r="C80" s="226">
        <v>53641198.850000001</v>
      </c>
      <c r="D80" s="226">
        <v>5559220.0999999996</v>
      </c>
      <c r="E80" s="226">
        <v>5744094.3399999999</v>
      </c>
      <c r="F80" s="166">
        <f t="shared" ref="F80:F90" si="15">(+D80-E80)/E80</f>
        <v>-3.218509812984726E-2</v>
      </c>
      <c r="G80" s="241">
        <f t="shared" ref="G80:G90" si="16">D80/C80</f>
        <v>0.10363713375507452</v>
      </c>
      <c r="H80" s="242">
        <f t="shared" ref="H80:H90" si="17">1-G80</f>
        <v>0.89636286624492545</v>
      </c>
      <c r="I80" s="157"/>
    </row>
    <row r="81" spans="1:9" ht="15.75" x14ac:dyDescent="0.25">
      <c r="A81" s="164"/>
      <c r="B81" s="165">
        <f>DATE(22,8,1)</f>
        <v>8249</v>
      </c>
      <c r="C81" s="226">
        <v>47590579.289999999</v>
      </c>
      <c r="D81" s="226">
        <v>4834999.09</v>
      </c>
      <c r="E81" s="226">
        <v>5022432.17</v>
      </c>
      <c r="F81" s="166">
        <f t="shared" si="15"/>
        <v>-3.7319185935367261E-2</v>
      </c>
      <c r="G81" s="241">
        <f t="shared" si="16"/>
        <v>0.10159571835714043</v>
      </c>
      <c r="H81" s="242">
        <f t="shared" si="17"/>
        <v>0.89840428164285957</v>
      </c>
      <c r="I81" s="157"/>
    </row>
    <row r="82" spans="1:9" ht="15.75" x14ac:dyDescent="0.25">
      <c r="A82" s="164"/>
      <c r="B82" s="165">
        <f>DATE(22,9,1)</f>
        <v>8280</v>
      </c>
      <c r="C82" s="226">
        <v>47220660.240000002</v>
      </c>
      <c r="D82" s="226">
        <v>4841899.8</v>
      </c>
      <c r="E82" s="226">
        <v>5281548.16</v>
      </c>
      <c r="F82" s="166">
        <f t="shared" si="15"/>
        <v>-8.3242327189155141E-2</v>
      </c>
      <c r="G82" s="241">
        <f t="shared" si="16"/>
        <v>0.10253774037446621</v>
      </c>
      <c r="H82" s="242">
        <f t="shared" si="17"/>
        <v>0.89746225962553383</v>
      </c>
      <c r="I82" s="157"/>
    </row>
    <row r="83" spans="1:9" ht="15.75" x14ac:dyDescent="0.25">
      <c r="A83" s="164"/>
      <c r="B83" s="165">
        <f>DATE(22,10,1)</f>
        <v>8310</v>
      </c>
      <c r="C83" s="226">
        <v>47792404.840000004</v>
      </c>
      <c r="D83" s="226">
        <v>4853868.22</v>
      </c>
      <c r="E83" s="226">
        <v>5329338.8099999996</v>
      </c>
      <c r="F83" s="166">
        <f t="shared" si="15"/>
        <v>-8.9217557177604156E-2</v>
      </c>
      <c r="G83" s="241">
        <f t="shared" si="16"/>
        <v>0.10156149782062315</v>
      </c>
      <c r="H83" s="242">
        <f t="shared" si="17"/>
        <v>0.89843850217937682</v>
      </c>
      <c r="I83" s="157"/>
    </row>
    <row r="84" spans="1:9" ht="15.75" x14ac:dyDescent="0.25">
      <c r="A84" s="164"/>
      <c r="B84" s="165">
        <f>DATE(22,11,1)</f>
        <v>8341</v>
      </c>
      <c r="C84" s="226">
        <v>43866316.450000003</v>
      </c>
      <c r="D84" s="226">
        <v>4436643.53</v>
      </c>
      <c r="E84" s="226">
        <v>4979381.55</v>
      </c>
      <c r="F84" s="166">
        <f t="shared" si="15"/>
        <v>-0.10899707414467959</v>
      </c>
      <c r="G84" s="241">
        <f t="shared" si="16"/>
        <v>0.1011400976659849</v>
      </c>
      <c r="H84" s="242">
        <f t="shared" si="17"/>
        <v>0.89885990233401514</v>
      </c>
      <c r="I84" s="157"/>
    </row>
    <row r="85" spans="1:9" ht="15.75" x14ac:dyDescent="0.25">
      <c r="A85" s="164"/>
      <c r="B85" s="165">
        <f>DATE(22,12,1)</f>
        <v>8371</v>
      </c>
      <c r="C85" s="226">
        <v>49072561.07</v>
      </c>
      <c r="D85" s="226">
        <v>4878718.8099999996</v>
      </c>
      <c r="E85" s="226">
        <v>5568235.3899999997</v>
      </c>
      <c r="F85" s="166">
        <f t="shared" si="15"/>
        <v>-0.12383035768177181</v>
      </c>
      <c r="G85" s="241">
        <f t="shared" si="16"/>
        <v>9.9418467339430411E-2</v>
      </c>
      <c r="H85" s="242">
        <f t="shared" si="17"/>
        <v>0.90058153266056962</v>
      </c>
      <c r="I85" s="157"/>
    </row>
    <row r="86" spans="1:9" ht="15.75" x14ac:dyDescent="0.25">
      <c r="A86" s="164"/>
      <c r="B86" s="165">
        <f>DATE(23,1,1)</f>
        <v>8402</v>
      </c>
      <c r="C86" s="226">
        <v>47726825.700000003</v>
      </c>
      <c r="D86" s="226">
        <v>4734129.4000000004</v>
      </c>
      <c r="E86" s="226">
        <v>4884841.6900000004</v>
      </c>
      <c r="F86" s="166">
        <f t="shared" si="15"/>
        <v>-3.0853055137596491E-2</v>
      </c>
      <c r="G86" s="241">
        <f t="shared" si="16"/>
        <v>9.9192211729262361E-2</v>
      </c>
      <c r="H86" s="242">
        <f t="shared" si="17"/>
        <v>0.9008077882707376</v>
      </c>
      <c r="I86" s="157"/>
    </row>
    <row r="87" spans="1:9" ht="15.75" x14ac:dyDescent="0.25">
      <c r="A87" s="164"/>
      <c r="B87" s="165">
        <f>DATE(23,2,1)</f>
        <v>8433</v>
      </c>
      <c r="C87" s="226">
        <v>53205187.840000004</v>
      </c>
      <c r="D87" s="226">
        <v>5419047.3600000003</v>
      </c>
      <c r="E87" s="226">
        <v>4926896.7</v>
      </c>
      <c r="F87" s="166">
        <f t="shared" si="15"/>
        <v>9.9890598477536605E-2</v>
      </c>
      <c r="G87" s="241">
        <f t="shared" si="16"/>
        <v>0.10185186031663487</v>
      </c>
      <c r="H87" s="242">
        <f t="shared" si="17"/>
        <v>0.89814813968336515</v>
      </c>
      <c r="I87" s="157"/>
    </row>
    <row r="88" spans="1:9" ht="15.75" x14ac:dyDescent="0.25">
      <c r="A88" s="164"/>
      <c r="B88" s="165">
        <f>DATE(23,3,1)</f>
        <v>8461</v>
      </c>
      <c r="C88" s="226">
        <v>55977955.109999999</v>
      </c>
      <c r="D88" s="226">
        <v>5872959.04</v>
      </c>
      <c r="E88" s="226">
        <v>5781376.5800000001</v>
      </c>
      <c r="F88" s="166">
        <f t="shared" si="15"/>
        <v>1.5840943542203917E-2</v>
      </c>
      <c r="G88" s="241">
        <f t="shared" si="16"/>
        <v>0.10491556950337481</v>
      </c>
      <c r="H88" s="242">
        <f t="shared" si="17"/>
        <v>0.89508443049662523</v>
      </c>
      <c r="I88" s="157"/>
    </row>
    <row r="89" spans="1:9" ht="15.75" x14ac:dyDescent="0.25">
      <c r="A89" s="164"/>
      <c r="B89" s="165">
        <f>DATE(23,4,1)</f>
        <v>8492</v>
      </c>
      <c r="C89" s="226">
        <v>51917637.950000003</v>
      </c>
      <c r="D89" s="226">
        <v>5332993.75</v>
      </c>
      <c r="E89" s="226">
        <v>5577670.54</v>
      </c>
      <c r="F89" s="166">
        <f t="shared" si="15"/>
        <v>-4.3867200159154622E-2</v>
      </c>
      <c r="G89" s="241">
        <f t="shared" si="16"/>
        <v>0.10272026926833638</v>
      </c>
      <c r="H89" s="242">
        <f t="shared" si="17"/>
        <v>0.89727973073166356</v>
      </c>
      <c r="I89" s="157"/>
    </row>
    <row r="90" spans="1:9" ht="15.75" x14ac:dyDescent="0.25">
      <c r="A90" s="164"/>
      <c r="B90" s="165">
        <f>DATE(23,5,1)</f>
        <v>8522</v>
      </c>
      <c r="C90" s="226">
        <v>49475135.899999999</v>
      </c>
      <c r="D90" s="226">
        <v>4975986.96</v>
      </c>
      <c r="E90" s="226">
        <v>5298271.4000000004</v>
      </c>
      <c r="F90" s="166">
        <f t="shared" si="15"/>
        <v>-6.0828224088331974E-2</v>
      </c>
      <c r="G90" s="241">
        <f t="shared" si="16"/>
        <v>0.10057550867687461</v>
      </c>
      <c r="H90" s="242">
        <f t="shared" si="17"/>
        <v>0.89942449132312541</v>
      </c>
      <c r="I90" s="157"/>
    </row>
    <row r="91" spans="1:9" ht="15.75" thickBot="1" x14ac:dyDescent="0.25">
      <c r="A91" s="167"/>
      <c r="B91" s="165"/>
      <c r="C91" s="226"/>
      <c r="D91" s="226"/>
      <c r="E91" s="226"/>
      <c r="F91" s="166"/>
      <c r="G91" s="241"/>
      <c r="H91" s="242"/>
      <c r="I91" s="157"/>
    </row>
    <row r="92" spans="1:9" ht="17.25" thickTop="1" thickBot="1" x14ac:dyDescent="0.3">
      <c r="A92" s="174" t="s">
        <v>14</v>
      </c>
      <c r="B92" s="175"/>
      <c r="C92" s="228">
        <f>SUM(C80:C91)</f>
        <v>547486463.24000001</v>
      </c>
      <c r="D92" s="230">
        <f>SUM(D80:D91)</f>
        <v>55740466.059999995</v>
      </c>
      <c r="E92" s="271">
        <f>SUM(E80:E91)</f>
        <v>58394087.329999998</v>
      </c>
      <c r="F92" s="272">
        <f>(+D92-E92)/E92</f>
        <v>-4.5443321256203685E-2</v>
      </c>
      <c r="G92" s="249">
        <f>D92/C92</f>
        <v>0.1018115876877219</v>
      </c>
      <c r="H92" s="270">
        <f>1-G92</f>
        <v>0.89818841231227808</v>
      </c>
      <c r="I92" s="157"/>
    </row>
    <row r="93" spans="1:9" ht="15.75" thickTop="1" x14ac:dyDescent="0.2">
      <c r="A93" s="167"/>
      <c r="B93" s="168"/>
      <c r="C93" s="226"/>
      <c r="D93" s="226"/>
      <c r="E93" s="226"/>
      <c r="F93" s="166"/>
      <c r="G93" s="241"/>
      <c r="H93" s="242"/>
      <c r="I93" s="157"/>
    </row>
    <row r="94" spans="1:9" ht="15.75" x14ac:dyDescent="0.25">
      <c r="A94" s="290" t="s">
        <v>67</v>
      </c>
      <c r="B94" s="165">
        <f>DATE(22,7,1)</f>
        <v>8218</v>
      </c>
      <c r="C94" s="226">
        <v>85581160.400000006</v>
      </c>
      <c r="D94" s="226">
        <v>9654928.8200000003</v>
      </c>
      <c r="E94" s="226">
        <v>8446672.5700000003</v>
      </c>
      <c r="F94" s="166">
        <f t="shared" ref="F94:F104" si="18">(+D94-E94)/E94</f>
        <v>0.14304523349127524</v>
      </c>
      <c r="G94" s="241">
        <f t="shared" ref="G94:G104" si="19">D94/C94</f>
        <v>0.11281605408098673</v>
      </c>
      <c r="H94" s="242">
        <f t="shared" ref="H94:H104" si="20">1-G94</f>
        <v>0.88718394591901328</v>
      </c>
      <c r="I94" s="157"/>
    </row>
    <row r="95" spans="1:9" ht="15.75" x14ac:dyDescent="0.25">
      <c r="A95" s="290"/>
      <c r="B95" s="165">
        <f>DATE(22,8,1)</f>
        <v>8249</v>
      </c>
      <c r="C95" s="226">
        <v>82456263.290000007</v>
      </c>
      <c r="D95" s="226">
        <v>9270730.9700000007</v>
      </c>
      <c r="E95" s="226">
        <v>8803736.4399999995</v>
      </c>
      <c r="F95" s="166">
        <f t="shared" si="18"/>
        <v>5.304503754544488E-2</v>
      </c>
      <c r="G95" s="241">
        <f t="shared" si="19"/>
        <v>0.11243210157844154</v>
      </c>
      <c r="H95" s="242">
        <f t="shared" si="20"/>
        <v>0.88756789842155848</v>
      </c>
      <c r="I95" s="157"/>
    </row>
    <row r="96" spans="1:9" ht="15.75" x14ac:dyDescent="0.25">
      <c r="A96" s="290"/>
      <c r="B96" s="165">
        <f>DATE(22,9,1)</f>
        <v>8280</v>
      </c>
      <c r="C96" s="226">
        <v>81432452.090000004</v>
      </c>
      <c r="D96" s="226">
        <v>9440089.3000000007</v>
      </c>
      <c r="E96" s="226">
        <v>8914995.2300000004</v>
      </c>
      <c r="F96" s="166">
        <f t="shared" si="18"/>
        <v>5.8900095451873871E-2</v>
      </c>
      <c r="G96" s="241">
        <f t="shared" si="19"/>
        <v>0.11592539654297422</v>
      </c>
      <c r="H96" s="242">
        <f t="shared" si="20"/>
        <v>0.88407460345702582</v>
      </c>
      <c r="I96" s="157"/>
    </row>
    <row r="97" spans="1:9" ht="15.75" x14ac:dyDescent="0.25">
      <c r="A97" s="290"/>
      <c r="B97" s="165">
        <f>DATE(22,10,1)</f>
        <v>8310</v>
      </c>
      <c r="C97" s="226">
        <v>82324119.659999996</v>
      </c>
      <c r="D97" s="226">
        <v>9283650.1199999992</v>
      </c>
      <c r="E97" s="226">
        <v>9230867.6699999999</v>
      </c>
      <c r="F97" s="166">
        <f t="shared" si="18"/>
        <v>5.7180377714156159E-3</v>
      </c>
      <c r="G97" s="241">
        <f t="shared" si="19"/>
        <v>0.11276950374132916</v>
      </c>
      <c r="H97" s="242">
        <f t="shared" si="20"/>
        <v>0.88723049625867079</v>
      </c>
      <c r="I97" s="157"/>
    </row>
    <row r="98" spans="1:9" ht="15.75" x14ac:dyDescent="0.25">
      <c r="A98" s="290"/>
      <c r="B98" s="165">
        <f>DATE(22,11,1)</f>
        <v>8341</v>
      </c>
      <c r="C98" s="226">
        <v>82659962.180000007</v>
      </c>
      <c r="D98" s="226">
        <v>9336104.8499999996</v>
      </c>
      <c r="E98" s="226">
        <v>8512217.6799999997</v>
      </c>
      <c r="F98" s="166">
        <f t="shared" si="18"/>
        <v>9.6788780664735063E-2</v>
      </c>
      <c r="G98" s="241">
        <f t="shared" si="19"/>
        <v>0.112945912431822</v>
      </c>
      <c r="H98" s="242">
        <f t="shared" si="20"/>
        <v>0.88705408756817805</v>
      </c>
      <c r="I98" s="157"/>
    </row>
    <row r="99" spans="1:9" ht="15.75" x14ac:dyDescent="0.25">
      <c r="A99" s="290"/>
      <c r="B99" s="165">
        <f>DATE(22,12,1)</f>
        <v>8371</v>
      </c>
      <c r="C99" s="226">
        <v>88513153.280000001</v>
      </c>
      <c r="D99" s="226">
        <v>9794618.4299999997</v>
      </c>
      <c r="E99" s="226">
        <v>9265401.0800000001</v>
      </c>
      <c r="F99" s="166">
        <f t="shared" si="18"/>
        <v>5.7117586754269208E-2</v>
      </c>
      <c r="G99" s="241">
        <f t="shared" si="19"/>
        <v>0.11065720818934087</v>
      </c>
      <c r="H99" s="242">
        <f t="shared" si="20"/>
        <v>0.88934279181065912</v>
      </c>
      <c r="I99" s="157"/>
    </row>
    <row r="100" spans="1:9" ht="15.75" x14ac:dyDescent="0.25">
      <c r="A100" s="290"/>
      <c r="B100" s="165">
        <f>DATE(23,1,1)</f>
        <v>8402</v>
      </c>
      <c r="C100" s="226">
        <v>86885608.790000007</v>
      </c>
      <c r="D100" s="226">
        <v>9804638.4499999993</v>
      </c>
      <c r="E100" s="226">
        <v>8004296.7699999996</v>
      </c>
      <c r="F100" s="166">
        <f t="shared" si="18"/>
        <v>0.22492190528812686</v>
      </c>
      <c r="G100" s="241">
        <f t="shared" si="19"/>
        <v>0.112845367449718</v>
      </c>
      <c r="H100" s="242">
        <f t="shared" si="20"/>
        <v>0.88715463255028204</v>
      </c>
      <c r="I100" s="157"/>
    </row>
    <row r="101" spans="1:9" ht="15.75" x14ac:dyDescent="0.25">
      <c r="A101" s="290"/>
      <c r="B101" s="165">
        <f>DATE(23,2,1)</f>
        <v>8433</v>
      </c>
      <c r="C101" s="226">
        <v>83528330.400000006</v>
      </c>
      <c r="D101" s="226">
        <v>9413288.1199999992</v>
      </c>
      <c r="E101" s="226">
        <v>8308096.3399999999</v>
      </c>
      <c r="F101" s="166">
        <f t="shared" si="18"/>
        <v>0.13302587437256408</v>
      </c>
      <c r="G101" s="241">
        <f t="shared" si="19"/>
        <v>0.11269575334406538</v>
      </c>
      <c r="H101" s="242">
        <f t="shared" si="20"/>
        <v>0.88730424665593466</v>
      </c>
      <c r="I101" s="157"/>
    </row>
    <row r="102" spans="1:9" ht="15.75" x14ac:dyDescent="0.25">
      <c r="A102" s="290"/>
      <c r="B102" s="165">
        <f>DATE(23,3,1)</f>
        <v>8461</v>
      </c>
      <c r="C102" s="226">
        <v>95091766.299999997</v>
      </c>
      <c r="D102" s="226">
        <v>10565430.359999999</v>
      </c>
      <c r="E102" s="226">
        <v>10191834.039999999</v>
      </c>
      <c r="F102" s="166">
        <f t="shared" si="18"/>
        <v>3.6656436764349071E-2</v>
      </c>
      <c r="G102" s="241">
        <f t="shared" si="19"/>
        <v>0.11110773068056892</v>
      </c>
      <c r="H102" s="242">
        <f t="shared" si="20"/>
        <v>0.88889226931943111</v>
      </c>
      <c r="I102" s="157"/>
    </row>
    <row r="103" spans="1:9" ht="15.75" x14ac:dyDescent="0.25">
      <c r="A103" s="290"/>
      <c r="B103" s="165">
        <f>DATE(23,4,1)</f>
        <v>8492</v>
      </c>
      <c r="C103" s="226">
        <v>87982268.810000002</v>
      </c>
      <c r="D103" s="226">
        <v>9866272.7899999991</v>
      </c>
      <c r="E103" s="226">
        <v>9948758.6600000001</v>
      </c>
      <c r="F103" s="166">
        <f t="shared" si="18"/>
        <v>-8.2910715616857714E-3</v>
      </c>
      <c r="G103" s="241">
        <f t="shared" si="19"/>
        <v>0.11213933129306397</v>
      </c>
      <c r="H103" s="242">
        <f t="shared" si="20"/>
        <v>0.88786066870693603</v>
      </c>
      <c r="I103" s="157"/>
    </row>
    <row r="104" spans="1:9" ht="15.75" x14ac:dyDescent="0.25">
      <c r="A104" s="290"/>
      <c r="B104" s="165">
        <f>DATE(23,5,1)</f>
        <v>8522</v>
      </c>
      <c r="C104" s="226">
        <v>87984114.400000006</v>
      </c>
      <c r="D104" s="226">
        <v>9610229.9900000002</v>
      </c>
      <c r="E104" s="226">
        <v>9691278.6300000008</v>
      </c>
      <c r="F104" s="166">
        <f t="shared" si="18"/>
        <v>-8.3630492006605932E-3</v>
      </c>
      <c r="G104" s="241">
        <f t="shared" si="19"/>
        <v>0.10922687641440873</v>
      </c>
      <c r="H104" s="242">
        <f t="shared" si="20"/>
        <v>0.89077312358559124</v>
      </c>
      <c r="I104" s="157"/>
    </row>
    <row r="105" spans="1:9" ht="15.75" thickBot="1" x14ac:dyDescent="0.25">
      <c r="A105" s="167"/>
      <c r="B105" s="165"/>
      <c r="C105" s="226"/>
      <c r="D105" s="226"/>
      <c r="E105" s="226"/>
      <c r="F105" s="166"/>
      <c r="G105" s="241"/>
      <c r="H105" s="242"/>
      <c r="I105" s="157"/>
    </row>
    <row r="106" spans="1:9" ht="17.25" thickTop="1" thickBot="1" x14ac:dyDescent="0.3">
      <c r="A106" s="174" t="s">
        <v>14</v>
      </c>
      <c r="B106" s="175"/>
      <c r="C106" s="228">
        <f>SUM(C94:C105)</f>
        <v>944439199.59999979</v>
      </c>
      <c r="D106" s="230">
        <f>SUM(D94:D105)</f>
        <v>106039982.2</v>
      </c>
      <c r="E106" s="271">
        <f>SUM(E94:E105)</f>
        <v>99318155.109999985</v>
      </c>
      <c r="F106" s="272">
        <f>(+D106-E106)/E106</f>
        <v>6.7679741760761136E-2</v>
      </c>
      <c r="G106" s="249">
        <f>D106/C106</f>
        <v>0.11227825173384515</v>
      </c>
      <c r="H106" s="270">
        <f>1-G106</f>
        <v>0.8877217482661548</v>
      </c>
      <c r="I106" s="157"/>
    </row>
    <row r="107" spans="1:9" ht="15.75" thickTop="1" x14ac:dyDescent="0.2">
      <c r="A107" s="167"/>
      <c r="B107" s="168"/>
      <c r="C107" s="226"/>
      <c r="D107" s="226"/>
      <c r="E107" s="226"/>
      <c r="F107" s="166"/>
      <c r="G107" s="241"/>
      <c r="H107" s="242"/>
      <c r="I107" s="157"/>
    </row>
    <row r="108" spans="1:9" ht="15.75" x14ac:dyDescent="0.25">
      <c r="A108" s="164" t="s">
        <v>69</v>
      </c>
      <c r="B108" s="165">
        <f>DATE(22,7,1)</f>
        <v>8218</v>
      </c>
      <c r="C108" s="226">
        <v>115913733.48</v>
      </c>
      <c r="D108" s="226">
        <v>11762621.74</v>
      </c>
      <c r="E108" s="226">
        <v>13534455.82</v>
      </c>
      <c r="F108" s="166">
        <f t="shared" ref="F108:F118" si="21">(+D108-E108)/E108</f>
        <v>-0.13091284227192521</v>
      </c>
      <c r="G108" s="241">
        <f t="shared" ref="G108:G118" si="22">D108/C108</f>
        <v>0.10147737793321572</v>
      </c>
      <c r="H108" s="242">
        <f t="shared" ref="H108:H118" si="23">1-G108</f>
        <v>0.89852262206678424</v>
      </c>
      <c r="I108" s="157"/>
    </row>
    <row r="109" spans="1:9" ht="15.75" x14ac:dyDescent="0.25">
      <c r="A109" s="164"/>
      <c r="B109" s="165">
        <f>DATE(22,8,1)</f>
        <v>8249</v>
      </c>
      <c r="C109" s="226">
        <v>120866905.95999999</v>
      </c>
      <c r="D109" s="226">
        <v>12540537.029999999</v>
      </c>
      <c r="E109" s="226">
        <v>11799607.16</v>
      </c>
      <c r="F109" s="166">
        <f t="shared" si="21"/>
        <v>6.2792757415832401E-2</v>
      </c>
      <c r="G109" s="241">
        <f t="shared" si="22"/>
        <v>0.10375492721018438</v>
      </c>
      <c r="H109" s="242">
        <f t="shared" si="23"/>
        <v>0.89624507278981558</v>
      </c>
      <c r="I109" s="157"/>
    </row>
    <row r="110" spans="1:9" ht="15.75" x14ac:dyDescent="0.25">
      <c r="A110" s="164"/>
      <c r="B110" s="165">
        <f>DATE(22,9,1)</f>
        <v>8280</v>
      </c>
      <c r="C110" s="226">
        <v>118707239.62</v>
      </c>
      <c r="D110" s="226">
        <v>12203478.51</v>
      </c>
      <c r="E110" s="226">
        <v>11262305.48</v>
      </c>
      <c r="F110" s="166">
        <f t="shared" si="21"/>
        <v>8.3568416046906874E-2</v>
      </c>
      <c r="G110" s="241">
        <f t="shared" si="22"/>
        <v>0.10280315294218952</v>
      </c>
      <c r="H110" s="242">
        <f t="shared" si="23"/>
        <v>0.89719684705781044</v>
      </c>
      <c r="I110" s="157"/>
    </row>
    <row r="111" spans="1:9" ht="15.75" x14ac:dyDescent="0.25">
      <c r="A111" s="164"/>
      <c r="B111" s="165">
        <f>DATE(22,10,1)</f>
        <v>8310</v>
      </c>
      <c r="C111" s="226">
        <v>112671486.7</v>
      </c>
      <c r="D111" s="226">
        <v>11570843.18</v>
      </c>
      <c r="E111" s="226">
        <v>11850584.039999999</v>
      </c>
      <c r="F111" s="166">
        <f t="shared" si="21"/>
        <v>-2.3605660198330564E-2</v>
      </c>
      <c r="G111" s="241">
        <f t="shared" si="22"/>
        <v>0.10269539808956829</v>
      </c>
      <c r="H111" s="242">
        <f t="shared" si="23"/>
        <v>0.89730460191043171</v>
      </c>
      <c r="I111" s="157"/>
    </row>
    <row r="112" spans="1:9" ht="15.75" x14ac:dyDescent="0.25">
      <c r="A112" s="164"/>
      <c r="B112" s="165">
        <f>DATE(22,11,1)</f>
        <v>8341</v>
      </c>
      <c r="C112" s="226">
        <v>102848583.43000001</v>
      </c>
      <c r="D112" s="226">
        <v>10635557.710000001</v>
      </c>
      <c r="E112" s="226">
        <v>10537202.82</v>
      </c>
      <c r="F112" s="166">
        <f t="shared" si="21"/>
        <v>9.3340606307130564E-3</v>
      </c>
      <c r="G112" s="241">
        <f t="shared" si="22"/>
        <v>0.10340986093638023</v>
      </c>
      <c r="H112" s="242">
        <f t="shared" si="23"/>
        <v>0.89659013906361973</v>
      </c>
      <c r="I112" s="157"/>
    </row>
    <row r="113" spans="1:9" ht="15.75" x14ac:dyDescent="0.25">
      <c r="A113" s="164"/>
      <c r="B113" s="165">
        <f>DATE(22,12,1)</f>
        <v>8371</v>
      </c>
      <c r="C113" s="226">
        <v>110332938.22</v>
      </c>
      <c r="D113" s="226">
        <v>11765807.74</v>
      </c>
      <c r="E113" s="226">
        <v>11616287.57</v>
      </c>
      <c r="F113" s="166">
        <f t="shared" si="21"/>
        <v>1.2871596807412709E-2</v>
      </c>
      <c r="G113" s="241">
        <f t="shared" si="22"/>
        <v>0.10663912272996295</v>
      </c>
      <c r="H113" s="242">
        <f t="shared" si="23"/>
        <v>0.89336087727003699</v>
      </c>
      <c r="I113" s="157"/>
    </row>
    <row r="114" spans="1:9" ht="15.75" x14ac:dyDescent="0.25">
      <c r="A114" s="164"/>
      <c r="B114" s="165">
        <f>DATE(23,1,1)</f>
        <v>8402</v>
      </c>
      <c r="C114" s="226">
        <v>104231904.06999999</v>
      </c>
      <c r="D114" s="226">
        <v>10527686.77</v>
      </c>
      <c r="E114" s="226">
        <v>9767141.9800000004</v>
      </c>
      <c r="F114" s="166">
        <f t="shared" si="21"/>
        <v>7.7867690626116925E-2</v>
      </c>
      <c r="G114" s="241">
        <f t="shared" si="22"/>
        <v>0.10100253721672227</v>
      </c>
      <c r="H114" s="242">
        <f t="shared" si="23"/>
        <v>0.89899746278327775</v>
      </c>
      <c r="I114" s="157"/>
    </row>
    <row r="115" spans="1:9" ht="15.75" x14ac:dyDescent="0.25">
      <c r="A115" s="164"/>
      <c r="B115" s="165">
        <f>DATE(23,2,1)</f>
        <v>8433</v>
      </c>
      <c r="C115" s="226">
        <v>108269385.65000001</v>
      </c>
      <c r="D115" s="226">
        <v>11416592.51</v>
      </c>
      <c r="E115" s="226">
        <v>10322075.949999999</v>
      </c>
      <c r="F115" s="166">
        <f t="shared" si="21"/>
        <v>0.10603647612184064</v>
      </c>
      <c r="G115" s="241">
        <f t="shared" si="22"/>
        <v>0.10544617429442299</v>
      </c>
      <c r="H115" s="242">
        <f t="shared" si="23"/>
        <v>0.89455382570557695</v>
      </c>
      <c r="I115" s="157"/>
    </row>
    <row r="116" spans="1:9" ht="15.75" x14ac:dyDescent="0.25">
      <c r="A116" s="164"/>
      <c r="B116" s="165">
        <f>DATE(23,3,1)</f>
        <v>8461</v>
      </c>
      <c r="C116" s="226">
        <v>122084471.45</v>
      </c>
      <c r="D116" s="226">
        <v>13000522.43</v>
      </c>
      <c r="E116" s="226">
        <v>13047812.960000001</v>
      </c>
      <c r="F116" s="166">
        <f t="shared" si="21"/>
        <v>-3.6244028133279732E-3</v>
      </c>
      <c r="G116" s="241">
        <f t="shared" si="22"/>
        <v>0.10648792819916</v>
      </c>
      <c r="H116" s="242">
        <f t="shared" si="23"/>
        <v>0.89351207180084002</v>
      </c>
      <c r="I116" s="157"/>
    </row>
    <row r="117" spans="1:9" ht="15.75" x14ac:dyDescent="0.25">
      <c r="A117" s="164"/>
      <c r="B117" s="165">
        <f>DATE(23,4,1)</f>
        <v>8492</v>
      </c>
      <c r="C117" s="226">
        <v>116289484.63</v>
      </c>
      <c r="D117" s="226">
        <v>12012834.470000001</v>
      </c>
      <c r="E117" s="226">
        <v>11513326.960000001</v>
      </c>
      <c r="F117" s="166">
        <f t="shared" si="21"/>
        <v>4.3385158063816487E-2</v>
      </c>
      <c r="G117" s="241">
        <f t="shared" si="22"/>
        <v>0.10330112398572766</v>
      </c>
      <c r="H117" s="242">
        <f t="shared" si="23"/>
        <v>0.89669887601427234</v>
      </c>
      <c r="I117" s="157"/>
    </row>
    <row r="118" spans="1:9" ht="15.75" x14ac:dyDescent="0.25">
      <c r="A118" s="164"/>
      <c r="B118" s="165">
        <f>DATE(23,5,1)</f>
        <v>8522</v>
      </c>
      <c r="C118" s="226">
        <v>110025681.78</v>
      </c>
      <c r="D118" s="226">
        <v>11374055.65</v>
      </c>
      <c r="E118" s="226">
        <v>11115266.5</v>
      </c>
      <c r="F118" s="166">
        <f t="shared" si="21"/>
        <v>2.3282316262952435E-2</v>
      </c>
      <c r="G118" s="241">
        <f t="shared" si="22"/>
        <v>0.10337637055267516</v>
      </c>
      <c r="H118" s="242">
        <f t="shared" si="23"/>
        <v>0.89662362944732488</v>
      </c>
      <c r="I118" s="157"/>
    </row>
    <row r="119" spans="1:9" ht="15.75" thickBot="1" x14ac:dyDescent="0.25">
      <c r="A119" s="167"/>
      <c r="B119" s="165"/>
      <c r="C119" s="226"/>
      <c r="D119" s="226"/>
      <c r="E119" s="226"/>
      <c r="F119" s="166"/>
      <c r="G119" s="241"/>
      <c r="H119" s="242"/>
      <c r="I119" s="157"/>
    </row>
    <row r="120" spans="1:9" ht="17.25" thickTop="1" thickBot="1" x14ac:dyDescent="0.3">
      <c r="A120" s="174" t="s">
        <v>14</v>
      </c>
      <c r="B120" s="175"/>
      <c r="C120" s="228">
        <f>SUM(C108:C119)</f>
        <v>1242241814.99</v>
      </c>
      <c r="D120" s="230">
        <f>SUM(D108:D119)</f>
        <v>128810537.74000001</v>
      </c>
      <c r="E120" s="271">
        <f>SUM(E108:E119)</f>
        <v>126366067.24000001</v>
      </c>
      <c r="F120" s="176">
        <f>(+D120-E120)/E120</f>
        <v>1.9344358445193627E-2</v>
      </c>
      <c r="G120" s="249">
        <f>D120/C120</f>
        <v>0.10369199956534786</v>
      </c>
      <c r="H120" s="270">
        <f>1-G120</f>
        <v>0.8963080004346522</v>
      </c>
      <c r="I120" s="157"/>
    </row>
    <row r="121" spans="1:9" ht="15.75" thickTop="1" x14ac:dyDescent="0.2">
      <c r="A121" s="167"/>
      <c r="B121" s="179"/>
      <c r="C121" s="229"/>
      <c r="D121" s="229"/>
      <c r="E121" s="229"/>
      <c r="F121" s="180"/>
      <c r="G121" s="247"/>
      <c r="H121" s="248"/>
      <c r="I121" s="157"/>
    </row>
    <row r="122" spans="1:9" ht="15.75" x14ac:dyDescent="0.25">
      <c r="A122" s="164" t="s">
        <v>16</v>
      </c>
      <c r="B122" s="165">
        <f>DATE(22,7,1)</f>
        <v>8218</v>
      </c>
      <c r="C122" s="226">
        <v>164331221.16</v>
      </c>
      <c r="D122" s="226">
        <v>15914314.48</v>
      </c>
      <c r="E122" s="226">
        <v>16148799.359999999</v>
      </c>
      <c r="F122" s="166">
        <f t="shared" ref="F122:F132" si="24">(+D122-E122)/E122</f>
        <v>-1.4520267096810284E-2</v>
      </c>
      <c r="G122" s="241">
        <f t="shared" ref="G122:G132" si="25">D122/C122</f>
        <v>9.6842914983910053E-2</v>
      </c>
      <c r="H122" s="242">
        <f t="shared" ref="H122:H132" si="26">1-G122</f>
        <v>0.90315708501608993</v>
      </c>
      <c r="I122" s="157"/>
    </row>
    <row r="123" spans="1:9" ht="15.75" x14ac:dyDescent="0.25">
      <c r="A123" s="164"/>
      <c r="B123" s="165">
        <f>DATE(22,8,1)</f>
        <v>8249</v>
      </c>
      <c r="C123" s="226">
        <v>151296993.62</v>
      </c>
      <c r="D123" s="226">
        <v>14340389.18</v>
      </c>
      <c r="E123" s="226">
        <v>14007269.199999999</v>
      </c>
      <c r="F123" s="166">
        <f t="shared" si="24"/>
        <v>2.3781936025046229E-2</v>
      </c>
      <c r="G123" s="241">
        <f t="shared" si="25"/>
        <v>9.4783041201846718E-2</v>
      </c>
      <c r="H123" s="242">
        <f t="shared" si="26"/>
        <v>0.90521695879815334</v>
      </c>
      <c r="I123" s="157"/>
    </row>
    <row r="124" spans="1:9" ht="15.75" x14ac:dyDescent="0.25">
      <c r="A124" s="164"/>
      <c r="B124" s="165">
        <f>DATE(22,9,1)</f>
        <v>8280</v>
      </c>
      <c r="C124" s="226">
        <v>150060402.08000001</v>
      </c>
      <c r="D124" s="226">
        <v>15068846.289999999</v>
      </c>
      <c r="E124" s="226">
        <v>13534117.949999999</v>
      </c>
      <c r="F124" s="166">
        <f t="shared" si="24"/>
        <v>0.11339699754870246</v>
      </c>
      <c r="G124" s="241">
        <f t="shared" si="25"/>
        <v>0.10041853867595607</v>
      </c>
      <c r="H124" s="242">
        <f t="shared" si="26"/>
        <v>0.89958146132404393</v>
      </c>
      <c r="I124" s="157"/>
    </row>
    <row r="125" spans="1:9" ht="15.75" x14ac:dyDescent="0.25">
      <c r="A125" s="164"/>
      <c r="B125" s="165">
        <f>DATE(22,10,1)</f>
        <v>8310</v>
      </c>
      <c r="C125" s="226">
        <v>151075922.59</v>
      </c>
      <c r="D125" s="226">
        <v>14552868.960000001</v>
      </c>
      <c r="E125" s="226">
        <v>14717532.77</v>
      </c>
      <c r="F125" s="166">
        <f t="shared" si="24"/>
        <v>-1.1188275410919888E-2</v>
      </c>
      <c r="G125" s="241">
        <f t="shared" si="25"/>
        <v>9.632818195321935E-2</v>
      </c>
      <c r="H125" s="242">
        <f t="shared" si="26"/>
        <v>0.90367181804678065</v>
      </c>
      <c r="I125" s="157"/>
    </row>
    <row r="126" spans="1:9" ht="15.75" x14ac:dyDescent="0.25">
      <c r="A126" s="164"/>
      <c r="B126" s="165">
        <f>DATE(22,11,1)</f>
        <v>8341</v>
      </c>
      <c r="C126" s="226">
        <v>137208695.11000001</v>
      </c>
      <c r="D126" s="226">
        <v>13319735.5</v>
      </c>
      <c r="E126" s="226">
        <v>13812980.33</v>
      </c>
      <c r="F126" s="166">
        <f t="shared" si="24"/>
        <v>-3.5708791167155744E-2</v>
      </c>
      <c r="G126" s="241">
        <f t="shared" si="25"/>
        <v>9.7076467998777977E-2</v>
      </c>
      <c r="H126" s="242">
        <f t="shared" si="26"/>
        <v>0.902923532001222</v>
      </c>
      <c r="I126" s="157"/>
    </row>
    <row r="127" spans="1:9" ht="15.75" x14ac:dyDescent="0.25">
      <c r="A127" s="164"/>
      <c r="B127" s="165">
        <f>DATE(22,12,1)</f>
        <v>8371</v>
      </c>
      <c r="C127" s="226">
        <v>151544462.93000001</v>
      </c>
      <c r="D127" s="226">
        <v>14436386.73</v>
      </c>
      <c r="E127" s="226">
        <v>14881396.939999999</v>
      </c>
      <c r="F127" s="166">
        <f t="shared" si="24"/>
        <v>-2.9903792755090575E-2</v>
      </c>
      <c r="G127" s="241">
        <f t="shared" si="25"/>
        <v>9.526172352907622E-2</v>
      </c>
      <c r="H127" s="242">
        <f t="shared" si="26"/>
        <v>0.90473827647092375</v>
      </c>
      <c r="I127" s="157"/>
    </row>
    <row r="128" spans="1:9" ht="15.75" x14ac:dyDescent="0.25">
      <c r="A128" s="164"/>
      <c r="B128" s="165">
        <f>DATE(23,1,1)</f>
        <v>8402</v>
      </c>
      <c r="C128" s="226">
        <v>145201607.59</v>
      </c>
      <c r="D128" s="226">
        <v>13555175.18</v>
      </c>
      <c r="E128" s="226">
        <v>13218577.91</v>
      </c>
      <c r="F128" s="166">
        <f t="shared" si="24"/>
        <v>2.5463954768187282E-2</v>
      </c>
      <c r="G128" s="241">
        <f t="shared" si="25"/>
        <v>9.3354167388251016E-2</v>
      </c>
      <c r="H128" s="242">
        <f t="shared" si="26"/>
        <v>0.90664583261174903</v>
      </c>
      <c r="I128" s="157"/>
    </row>
    <row r="129" spans="1:9" ht="15.75" x14ac:dyDescent="0.25">
      <c r="A129" s="164"/>
      <c r="B129" s="165">
        <f>DATE(23,2,1)</f>
        <v>8433</v>
      </c>
      <c r="C129" s="226">
        <v>147866556.63</v>
      </c>
      <c r="D129" s="226">
        <v>14262692.57</v>
      </c>
      <c r="E129" s="226">
        <v>14110740.529999999</v>
      </c>
      <c r="F129" s="166">
        <f t="shared" si="24"/>
        <v>1.0768537602753366E-2</v>
      </c>
      <c r="G129" s="241">
        <f t="shared" si="25"/>
        <v>9.6456513866681234E-2</v>
      </c>
      <c r="H129" s="242">
        <f t="shared" si="26"/>
        <v>0.90354348613331881</v>
      </c>
      <c r="I129" s="157"/>
    </row>
    <row r="130" spans="1:9" ht="15.75" x14ac:dyDescent="0.25">
      <c r="A130" s="164"/>
      <c r="B130" s="165">
        <f>DATE(23,3,1)</f>
        <v>8461</v>
      </c>
      <c r="C130" s="226">
        <v>171301853.22</v>
      </c>
      <c r="D130" s="226">
        <v>16320245.869999999</v>
      </c>
      <c r="E130" s="226">
        <v>16088302.82</v>
      </c>
      <c r="F130" s="166">
        <f t="shared" si="24"/>
        <v>1.4416874955365795E-2</v>
      </c>
      <c r="G130" s="241">
        <f t="shared" si="25"/>
        <v>9.5271858203659895E-2</v>
      </c>
      <c r="H130" s="242">
        <f t="shared" si="26"/>
        <v>0.90472814179634009</v>
      </c>
      <c r="I130" s="157"/>
    </row>
    <row r="131" spans="1:9" ht="15.75" x14ac:dyDescent="0.25">
      <c r="A131" s="164"/>
      <c r="B131" s="165">
        <f>DATE(23,4,1)</f>
        <v>8492</v>
      </c>
      <c r="C131" s="226">
        <v>156772960.97999999</v>
      </c>
      <c r="D131" s="226">
        <v>15426763.890000001</v>
      </c>
      <c r="E131" s="226">
        <v>16169410.210000001</v>
      </c>
      <c r="F131" s="166">
        <f t="shared" si="24"/>
        <v>-4.5929091435920735E-2</v>
      </c>
      <c r="G131" s="241">
        <f t="shared" si="25"/>
        <v>9.840194248782505E-2</v>
      </c>
      <c r="H131" s="242">
        <f t="shared" si="26"/>
        <v>0.90159805751217492</v>
      </c>
      <c r="I131" s="157"/>
    </row>
    <row r="132" spans="1:9" ht="15.75" x14ac:dyDescent="0.25">
      <c r="A132" s="164"/>
      <c r="B132" s="165">
        <f>DATE(23,5,1)</f>
        <v>8522</v>
      </c>
      <c r="C132" s="226">
        <v>149544144.40000001</v>
      </c>
      <c r="D132" s="226">
        <v>14519933.27</v>
      </c>
      <c r="E132" s="226">
        <v>15057793.130000001</v>
      </c>
      <c r="F132" s="166">
        <f t="shared" si="24"/>
        <v>-3.5719700447232883E-2</v>
      </c>
      <c r="G132" s="241">
        <f t="shared" si="25"/>
        <v>9.7094629336753877E-2</v>
      </c>
      <c r="H132" s="242">
        <f t="shared" si="26"/>
        <v>0.90290537066324617</v>
      </c>
      <c r="I132" s="157"/>
    </row>
    <row r="133" spans="1:9" ht="15.75" customHeight="1" thickBot="1" x14ac:dyDescent="0.3">
      <c r="A133" s="164"/>
      <c r="B133" s="165"/>
      <c r="C133" s="226"/>
      <c r="D133" s="226"/>
      <c r="E133" s="226"/>
      <c r="F133" s="166"/>
      <c r="G133" s="241"/>
      <c r="H133" s="242"/>
      <c r="I133" s="157"/>
    </row>
    <row r="134" spans="1:9" ht="17.25" thickTop="1" thickBot="1" x14ac:dyDescent="0.3">
      <c r="A134" s="174" t="s">
        <v>14</v>
      </c>
      <c r="B134" s="181"/>
      <c r="C134" s="228">
        <f>SUM(C122:C133)</f>
        <v>1676204820.3100002</v>
      </c>
      <c r="D134" s="228">
        <f>SUM(D122:D133)</f>
        <v>161717351.91999999</v>
      </c>
      <c r="E134" s="228">
        <f>SUM(E122:E133)</f>
        <v>161746921.15000001</v>
      </c>
      <c r="F134" s="176">
        <f>(+D134-E134)/E134</f>
        <v>-1.8281170231733386E-4</v>
      </c>
      <c r="G134" s="245">
        <f>D134/C134</f>
        <v>9.6478276377997593E-2</v>
      </c>
      <c r="H134" s="246">
        <f>1-G134</f>
        <v>0.90352172362200245</v>
      </c>
      <c r="I134" s="157"/>
    </row>
    <row r="135" spans="1:9" ht="15.75" thickTop="1" x14ac:dyDescent="0.2">
      <c r="A135" s="171"/>
      <c r="B135" s="172"/>
      <c r="C135" s="227"/>
      <c r="D135" s="227"/>
      <c r="E135" s="227"/>
      <c r="F135" s="173"/>
      <c r="G135" s="243"/>
      <c r="H135" s="244"/>
      <c r="I135" s="157"/>
    </row>
    <row r="136" spans="1:9" ht="15.75" x14ac:dyDescent="0.25">
      <c r="A136" s="164" t="s">
        <v>53</v>
      </c>
      <c r="B136" s="165">
        <f>DATE(22,7,1)</f>
        <v>8218</v>
      </c>
      <c r="C136" s="226">
        <v>217334773.96000001</v>
      </c>
      <c r="D136" s="226">
        <v>19656587.449999999</v>
      </c>
      <c r="E136" s="226">
        <v>17635283.719999999</v>
      </c>
      <c r="F136" s="166">
        <f t="shared" ref="F136:F146" si="27">(+D136-E136)/E136</f>
        <v>0.1146170235814046</v>
      </c>
      <c r="G136" s="241">
        <f t="shared" ref="G136:G146" si="28">D136/C136</f>
        <v>9.0443821261745036E-2</v>
      </c>
      <c r="H136" s="242">
        <f t="shared" ref="H136:H146" si="29">1-G136</f>
        <v>0.90955617873825501</v>
      </c>
      <c r="I136" s="157"/>
    </row>
    <row r="137" spans="1:9" ht="15.75" x14ac:dyDescent="0.25">
      <c r="A137" s="164"/>
      <c r="B137" s="165">
        <f>DATE(22,8,1)</f>
        <v>8249</v>
      </c>
      <c r="C137" s="226">
        <v>200475281.66999999</v>
      </c>
      <c r="D137" s="226">
        <v>17776767.91</v>
      </c>
      <c r="E137" s="226">
        <v>17152915.09</v>
      </c>
      <c r="F137" s="166">
        <f t="shared" si="27"/>
        <v>3.637007568257019E-2</v>
      </c>
      <c r="G137" s="241">
        <f t="shared" si="28"/>
        <v>8.8673116016677461E-2</v>
      </c>
      <c r="H137" s="242">
        <f t="shared" si="29"/>
        <v>0.91132688398332251</v>
      </c>
      <c r="I137" s="157"/>
    </row>
    <row r="138" spans="1:9" ht="15.75" x14ac:dyDescent="0.25">
      <c r="A138" s="164"/>
      <c r="B138" s="165">
        <f>DATE(22,9,1)</f>
        <v>8280</v>
      </c>
      <c r="C138" s="226">
        <v>196574841.52000001</v>
      </c>
      <c r="D138" s="226">
        <v>17845168.100000001</v>
      </c>
      <c r="E138" s="226">
        <v>16762718.67</v>
      </c>
      <c r="F138" s="166">
        <f t="shared" si="27"/>
        <v>6.4574813388549313E-2</v>
      </c>
      <c r="G138" s="241">
        <f t="shared" si="28"/>
        <v>9.0780528993504944E-2</v>
      </c>
      <c r="H138" s="242">
        <f t="shared" si="29"/>
        <v>0.90921947100649503</v>
      </c>
      <c r="I138" s="157"/>
    </row>
    <row r="139" spans="1:9" ht="15.75" x14ac:dyDescent="0.25">
      <c r="A139" s="164"/>
      <c r="B139" s="165">
        <f>DATE(22,10,1)</f>
        <v>8310</v>
      </c>
      <c r="C139" s="226">
        <v>198946815.71000001</v>
      </c>
      <c r="D139" s="226">
        <v>17788599.370000001</v>
      </c>
      <c r="E139" s="226">
        <v>18368300.02</v>
      </c>
      <c r="F139" s="166">
        <f t="shared" si="27"/>
        <v>-3.1559842193823143E-2</v>
      </c>
      <c r="G139" s="241">
        <f t="shared" si="28"/>
        <v>8.9413843124435899E-2</v>
      </c>
      <c r="H139" s="242">
        <f t="shared" si="29"/>
        <v>0.9105861568755641</v>
      </c>
      <c r="I139" s="157"/>
    </row>
    <row r="140" spans="1:9" ht="15.75" x14ac:dyDescent="0.25">
      <c r="A140" s="164"/>
      <c r="B140" s="165">
        <f>DATE(22,11,1)</f>
        <v>8341</v>
      </c>
      <c r="C140" s="226">
        <v>191380410.94</v>
      </c>
      <c r="D140" s="226">
        <v>17618885.149999999</v>
      </c>
      <c r="E140" s="226">
        <v>17099113.550000001</v>
      </c>
      <c r="F140" s="166">
        <f t="shared" si="27"/>
        <v>3.039757578544168E-2</v>
      </c>
      <c r="G140" s="241">
        <f t="shared" si="28"/>
        <v>9.206211369001463E-2</v>
      </c>
      <c r="H140" s="242">
        <f t="shared" si="29"/>
        <v>0.9079378863099854</v>
      </c>
      <c r="I140" s="157"/>
    </row>
    <row r="141" spans="1:9" ht="15.75" x14ac:dyDescent="0.25">
      <c r="A141" s="164"/>
      <c r="B141" s="165">
        <f>DATE(22,12,1)</f>
        <v>8371</v>
      </c>
      <c r="C141" s="226">
        <v>201934623.12</v>
      </c>
      <c r="D141" s="226">
        <v>18411025.469999999</v>
      </c>
      <c r="E141" s="226">
        <v>18695924.300000001</v>
      </c>
      <c r="F141" s="166">
        <f t="shared" si="27"/>
        <v>-1.5238552821911134E-2</v>
      </c>
      <c r="G141" s="241">
        <f t="shared" si="28"/>
        <v>9.1173198461658625E-2</v>
      </c>
      <c r="H141" s="242">
        <f t="shared" si="29"/>
        <v>0.90882680153834139</v>
      </c>
      <c r="I141" s="157"/>
    </row>
    <row r="142" spans="1:9" ht="15.75" x14ac:dyDescent="0.25">
      <c r="A142" s="164"/>
      <c r="B142" s="165">
        <f>DATE(23,1,1)</f>
        <v>8402</v>
      </c>
      <c r="C142" s="226">
        <v>195259128.19</v>
      </c>
      <c r="D142" s="226">
        <v>17516119.75</v>
      </c>
      <c r="E142" s="226">
        <v>16268714.699999999</v>
      </c>
      <c r="F142" s="166">
        <f t="shared" si="27"/>
        <v>7.6675083004559719E-2</v>
      </c>
      <c r="G142" s="241">
        <f t="shared" si="28"/>
        <v>8.9707046796581313E-2</v>
      </c>
      <c r="H142" s="242">
        <f t="shared" si="29"/>
        <v>0.91029295320341874</v>
      </c>
      <c r="I142" s="157"/>
    </row>
    <row r="143" spans="1:9" ht="15.75" x14ac:dyDescent="0.25">
      <c r="A143" s="164"/>
      <c r="B143" s="165">
        <f>DATE(23,2,1)</f>
        <v>8433</v>
      </c>
      <c r="C143" s="226">
        <v>198838074.74000001</v>
      </c>
      <c r="D143" s="226">
        <v>18048053.239999998</v>
      </c>
      <c r="E143" s="226">
        <v>16850587.23</v>
      </c>
      <c r="F143" s="166">
        <f t="shared" si="27"/>
        <v>7.1063755443969645E-2</v>
      </c>
      <c r="G143" s="241">
        <f t="shared" si="28"/>
        <v>9.0767591989610499E-2</v>
      </c>
      <c r="H143" s="242">
        <f t="shared" si="29"/>
        <v>0.90923240801038951</v>
      </c>
      <c r="I143" s="157"/>
    </row>
    <row r="144" spans="1:9" ht="15.75" x14ac:dyDescent="0.25">
      <c r="A144" s="164"/>
      <c r="B144" s="165">
        <f>DATE(23,3,1)</f>
        <v>8461</v>
      </c>
      <c r="C144" s="226">
        <v>224833673.91</v>
      </c>
      <c r="D144" s="226">
        <v>20524459.280000001</v>
      </c>
      <c r="E144" s="226">
        <v>20102038.100000001</v>
      </c>
      <c r="F144" s="166">
        <f t="shared" si="27"/>
        <v>2.1013848342074311E-2</v>
      </c>
      <c r="G144" s="241">
        <f t="shared" si="28"/>
        <v>9.1287301066013168E-2</v>
      </c>
      <c r="H144" s="242">
        <f t="shared" si="29"/>
        <v>0.90871269893398687</v>
      </c>
      <c r="I144" s="157"/>
    </row>
    <row r="145" spans="1:9" ht="15.75" x14ac:dyDescent="0.25">
      <c r="A145" s="164"/>
      <c r="B145" s="165">
        <f>DATE(23,4,1)</f>
        <v>8492</v>
      </c>
      <c r="C145" s="226">
        <v>216996309.88</v>
      </c>
      <c r="D145" s="226">
        <v>19237395.370000001</v>
      </c>
      <c r="E145" s="226">
        <v>19770105.32</v>
      </c>
      <c r="F145" s="166">
        <f t="shared" si="27"/>
        <v>-2.6945225702014582E-2</v>
      </c>
      <c r="G145" s="241">
        <f t="shared" si="28"/>
        <v>8.8653099127069826E-2</v>
      </c>
      <c r="H145" s="242">
        <f t="shared" si="29"/>
        <v>0.91134690087293013</v>
      </c>
      <c r="I145" s="157"/>
    </row>
    <row r="146" spans="1:9" ht="15.75" x14ac:dyDescent="0.25">
      <c r="A146" s="164"/>
      <c r="B146" s="165">
        <f>DATE(23,5,1)</f>
        <v>8522</v>
      </c>
      <c r="C146" s="226">
        <v>204548944.38999999</v>
      </c>
      <c r="D146" s="226">
        <v>18582653.739999998</v>
      </c>
      <c r="E146" s="226">
        <v>19445827.75</v>
      </c>
      <c r="F146" s="166">
        <f t="shared" si="27"/>
        <v>-4.4388648356715063E-2</v>
      </c>
      <c r="G146" s="241">
        <f t="shared" si="28"/>
        <v>9.0846979413248291E-2</v>
      </c>
      <c r="H146" s="242">
        <f t="shared" si="29"/>
        <v>0.90915302058675174</v>
      </c>
      <c r="I146" s="157"/>
    </row>
    <row r="147" spans="1:9" ht="15.75" thickBot="1" x14ac:dyDescent="0.25">
      <c r="A147" s="167"/>
      <c r="B147" s="168"/>
      <c r="C147" s="226"/>
      <c r="D147" s="226"/>
      <c r="E147" s="226"/>
      <c r="F147" s="166"/>
      <c r="G147" s="241"/>
      <c r="H147" s="242"/>
      <c r="I147" s="157"/>
    </row>
    <row r="148" spans="1:9" ht="17.25" thickTop="1" thickBot="1" x14ac:dyDescent="0.3">
      <c r="A148" s="174" t="s">
        <v>14</v>
      </c>
      <c r="B148" s="175"/>
      <c r="C148" s="228">
        <f>SUM(C136:C147)</f>
        <v>2247122878.0300002</v>
      </c>
      <c r="D148" s="228">
        <f>SUM(D136:D147)</f>
        <v>203005714.83000001</v>
      </c>
      <c r="E148" s="228">
        <f>SUM(E136:E147)</f>
        <v>198151528.44999999</v>
      </c>
      <c r="F148" s="176">
        <f>(+D148-E148)/E148</f>
        <v>2.4497345127594574E-2</v>
      </c>
      <c r="G148" s="249">
        <f>D148/C148</f>
        <v>9.0340282151357185E-2</v>
      </c>
      <c r="H148" s="270">
        <f>1-G148</f>
        <v>0.90965971784864286</v>
      </c>
      <c r="I148" s="157"/>
    </row>
    <row r="149" spans="1:9" ht="15.75" thickTop="1" x14ac:dyDescent="0.2">
      <c r="A149" s="167"/>
      <c r="B149" s="168"/>
      <c r="C149" s="226"/>
      <c r="D149" s="226"/>
      <c r="E149" s="226"/>
      <c r="F149" s="166"/>
      <c r="G149" s="241"/>
      <c r="H149" s="242"/>
      <c r="I149" s="157"/>
    </row>
    <row r="150" spans="1:9" ht="15.75" x14ac:dyDescent="0.25">
      <c r="A150" s="164" t="s">
        <v>54</v>
      </c>
      <c r="B150" s="165">
        <f>DATE(22,7,1)</f>
        <v>8218</v>
      </c>
      <c r="C150" s="226">
        <v>29253159.100000001</v>
      </c>
      <c r="D150" s="226">
        <v>3220140.18</v>
      </c>
      <c r="E150" s="226">
        <v>3540868.12</v>
      </c>
      <c r="F150" s="166">
        <f t="shared" ref="F150:F160" si="30">(+D150-E150)/E150</f>
        <v>-9.0578900182252467E-2</v>
      </c>
      <c r="G150" s="241">
        <f t="shared" ref="G150:G160" si="31">D150/C150</f>
        <v>0.11007837372340412</v>
      </c>
      <c r="H150" s="242">
        <f t="shared" ref="H150:H160" si="32">1-G150</f>
        <v>0.88992162627659588</v>
      </c>
      <c r="I150" s="157"/>
    </row>
    <row r="151" spans="1:9" ht="15.75" x14ac:dyDescent="0.25">
      <c r="A151" s="164"/>
      <c r="B151" s="165">
        <f>DATE(22,8,1)</f>
        <v>8249</v>
      </c>
      <c r="C151" s="226">
        <v>25837783.379999999</v>
      </c>
      <c r="D151" s="226">
        <v>2910388.06</v>
      </c>
      <c r="E151" s="226">
        <v>3115295.59</v>
      </c>
      <c r="F151" s="166">
        <f t="shared" si="30"/>
        <v>-6.577466698753931E-2</v>
      </c>
      <c r="G151" s="241">
        <f t="shared" si="31"/>
        <v>0.11264077948160274</v>
      </c>
      <c r="H151" s="242">
        <f t="shared" si="32"/>
        <v>0.88735922051839722</v>
      </c>
      <c r="I151" s="157"/>
    </row>
    <row r="152" spans="1:9" ht="15.75" x14ac:dyDescent="0.25">
      <c r="A152" s="164"/>
      <c r="B152" s="165">
        <f>DATE(22,9,1)</f>
        <v>8280</v>
      </c>
      <c r="C152" s="226">
        <v>27357626.210000001</v>
      </c>
      <c r="D152" s="226">
        <v>3079109.35</v>
      </c>
      <c r="E152" s="226">
        <v>3042841.65</v>
      </c>
      <c r="F152" s="166">
        <f t="shared" si="30"/>
        <v>1.1919023127608428E-2</v>
      </c>
      <c r="G152" s="241">
        <f t="shared" si="31"/>
        <v>0.11255031143288656</v>
      </c>
      <c r="H152" s="242">
        <f t="shared" si="32"/>
        <v>0.88744968856711348</v>
      </c>
      <c r="I152" s="157"/>
    </row>
    <row r="153" spans="1:9" ht="15.75" x14ac:dyDescent="0.25">
      <c r="A153" s="164"/>
      <c r="B153" s="165">
        <f>DATE(22,10,1)</f>
        <v>8310</v>
      </c>
      <c r="C153" s="226">
        <v>26519006.940000001</v>
      </c>
      <c r="D153" s="226">
        <v>3026739.97</v>
      </c>
      <c r="E153" s="226">
        <v>3415416.93</v>
      </c>
      <c r="F153" s="166">
        <f t="shared" si="30"/>
        <v>-0.11380073588848784</v>
      </c>
      <c r="G153" s="241">
        <f t="shared" si="31"/>
        <v>0.11413474029582195</v>
      </c>
      <c r="H153" s="242">
        <f t="shared" si="32"/>
        <v>0.88586525970417807</v>
      </c>
      <c r="I153" s="157"/>
    </row>
    <row r="154" spans="1:9" ht="15.75" x14ac:dyDescent="0.25">
      <c r="A154" s="164"/>
      <c r="B154" s="165">
        <f>DATE(22,11,1)</f>
        <v>8341</v>
      </c>
      <c r="C154" s="226">
        <v>23873732.329999998</v>
      </c>
      <c r="D154" s="226">
        <v>2771028.1</v>
      </c>
      <c r="E154" s="226">
        <v>3126811.29</v>
      </c>
      <c r="F154" s="166">
        <f t="shared" si="30"/>
        <v>-0.11378466974896971</v>
      </c>
      <c r="G154" s="241">
        <f t="shared" si="31"/>
        <v>0.11607016706465689</v>
      </c>
      <c r="H154" s="242">
        <f t="shared" si="32"/>
        <v>0.88392983293534311</v>
      </c>
      <c r="I154" s="157"/>
    </row>
    <row r="155" spans="1:9" ht="15.75" x14ac:dyDescent="0.25">
      <c r="A155" s="164"/>
      <c r="B155" s="165">
        <f>DATE(22,12,1)</f>
        <v>8371</v>
      </c>
      <c r="C155" s="226">
        <v>26447659.84</v>
      </c>
      <c r="D155" s="226">
        <v>3065877.72</v>
      </c>
      <c r="E155" s="226">
        <v>3080901.79</v>
      </c>
      <c r="F155" s="166">
        <f t="shared" si="30"/>
        <v>-4.8765170148444854E-3</v>
      </c>
      <c r="G155" s="241">
        <f t="shared" si="31"/>
        <v>0.11592245735719506</v>
      </c>
      <c r="H155" s="242">
        <f t="shared" si="32"/>
        <v>0.88407754264280491</v>
      </c>
      <c r="I155" s="157"/>
    </row>
    <row r="156" spans="1:9" ht="15.75" x14ac:dyDescent="0.25">
      <c r="A156" s="164"/>
      <c r="B156" s="165">
        <f>DATE(23,1,1)</f>
        <v>8402</v>
      </c>
      <c r="C156" s="226">
        <v>26245046.260000002</v>
      </c>
      <c r="D156" s="226">
        <v>2868849.61</v>
      </c>
      <c r="E156" s="226">
        <v>2697598.25</v>
      </c>
      <c r="F156" s="166">
        <f t="shared" si="30"/>
        <v>6.3482900020416261E-2</v>
      </c>
      <c r="G156" s="241">
        <f t="shared" si="31"/>
        <v>0.10931013729521998</v>
      </c>
      <c r="H156" s="242">
        <f t="shared" si="32"/>
        <v>0.89068986270478001</v>
      </c>
      <c r="I156" s="157"/>
    </row>
    <row r="157" spans="1:9" ht="15.75" x14ac:dyDescent="0.25">
      <c r="A157" s="164"/>
      <c r="B157" s="165">
        <f>DATE(23,2,1)</f>
        <v>8433</v>
      </c>
      <c r="C157" s="226">
        <v>28305002.850000001</v>
      </c>
      <c r="D157" s="226">
        <v>3074017.42</v>
      </c>
      <c r="E157" s="226">
        <v>2911358.37</v>
      </c>
      <c r="F157" s="166">
        <f t="shared" si="30"/>
        <v>5.5870500751853444E-2</v>
      </c>
      <c r="G157" s="241">
        <f t="shared" si="31"/>
        <v>0.10860332487124268</v>
      </c>
      <c r="H157" s="242">
        <f t="shared" si="32"/>
        <v>0.89139667512875731</v>
      </c>
      <c r="I157" s="157"/>
    </row>
    <row r="158" spans="1:9" ht="15.75" x14ac:dyDescent="0.25">
      <c r="A158" s="164"/>
      <c r="B158" s="165">
        <f>DATE(23,3,1)</f>
        <v>8461</v>
      </c>
      <c r="C158" s="226">
        <v>29350413.629999999</v>
      </c>
      <c r="D158" s="226">
        <v>3299257.76</v>
      </c>
      <c r="E158" s="226">
        <v>3443177.29</v>
      </c>
      <c r="F158" s="166">
        <f t="shared" si="30"/>
        <v>-4.1798466322946808E-2</v>
      </c>
      <c r="G158" s="241">
        <f t="shared" si="31"/>
        <v>0.1124092423906327</v>
      </c>
      <c r="H158" s="242">
        <f t="shared" si="32"/>
        <v>0.88759075760936734</v>
      </c>
      <c r="I158" s="157"/>
    </row>
    <row r="159" spans="1:9" ht="15.75" x14ac:dyDescent="0.25">
      <c r="A159" s="164"/>
      <c r="B159" s="165">
        <f>DATE(23,4,1)</f>
        <v>8492</v>
      </c>
      <c r="C159" s="226">
        <v>28582977.609999999</v>
      </c>
      <c r="D159" s="226">
        <v>3131346.14</v>
      </c>
      <c r="E159" s="226">
        <v>3438636.03</v>
      </c>
      <c r="F159" s="166">
        <f t="shared" si="30"/>
        <v>-8.9363889437289373E-2</v>
      </c>
      <c r="G159" s="241">
        <f t="shared" si="31"/>
        <v>0.10955283185417575</v>
      </c>
      <c r="H159" s="242">
        <f t="shared" si="32"/>
        <v>0.89044716814582425</v>
      </c>
      <c r="I159" s="157"/>
    </row>
    <row r="160" spans="1:9" ht="15.75" x14ac:dyDescent="0.25">
      <c r="A160" s="164"/>
      <c r="B160" s="165">
        <f>DATE(23,5,1)</f>
        <v>8522</v>
      </c>
      <c r="C160" s="226">
        <v>27704460.809999999</v>
      </c>
      <c r="D160" s="226">
        <v>3139965.67</v>
      </c>
      <c r="E160" s="226">
        <v>3043117.21</v>
      </c>
      <c r="F160" s="166">
        <f t="shared" si="30"/>
        <v>3.182541233763387E-2</v>
      </c>
      <c r="G160" s="241">
        <f t="shared" si="31"/>
        <v>0.11333790942672384</v>
      </c>
      <c r="H160" s="242">
        <f t="shared" si="32"/>
        <v>0.88666209057327616</v>
      </c>
      <c r="I160" s="157"/>
    </row>
    <row r="161" spans="1:9" ht="15.75" thickBot="1" x14ac:dyDescent="0.25">
      <c r="A161" s="167"/>
      <c r="B161" s="168"/>
      <c r="C161" s="226"/>
      <c r="D161" s="226"/>
      <c r="E161" s="226"/>
      <c r="F161" s="166"/>
      <c r="G161" s="241"/>
      <c r="H161" s="242"/>
      <c r="I161" s="157"/>
    </row>
    <row r="162" spans="1:9" ht="17.25" thickTop="1" thickBot="1" x14ac:dyDescent="0.3">
      <c r="A162" s="182" t="s">
        <v>14</v>
      </c>
      <c r="B162" s="183"/>
      <c r="C162" s="230">
        <f>SUM(C150:C161)</f>
        <v>299476868.95999998</v>
      </c>
      <c r="D162" s="230">
        <f>SUM(D150:D161)</f>
        <v>33586719.979999997</v>
      </c>
      <c r="E162" s="230">
        <f>SUM(E150:E161)</f>
        <v>34856022.519999996</v>
      </c>
      <c r="F162" s="176">
        <f>(+D162-E162)/E162</f>
        <v>-3.6415587557980474E-2</v>
      </c>
      <c r="G162" s="249">
        <f>D162/C162</f>
        <v>0.11215129935289277</v>
      </c>
      <c r="H162" s="246">
        <f>1-G162</f>
        <v>0.88784870064710719</v>
      </c>
      <c r="I162" s="157"/>
    </row>
    <row r="163" spans="1:9" ht="15.75" thickTop="1" x14ac:dyDescent="0.2">
      <c r="A163" s="167"/>
      <c r="B163" s="168"/>
      <c r="C163" s="226"/>
      <c r="D163" s="226"/>
      <c r="E163" s="226"/>
      <c r="F163" s="166"/>
      <c r="G163" s="241"/>
      <c r="H163" s="242"/>
      <c r="I163" s="157"/>
    </row>
    <row r="164" spans="1:9" ht="15.75" x14ac:dyDescent="0.25">
      <c r="A164" s="164" t="s">
        <v>37</v>
      </c>
      <c r="B164" s="165">
        <f>DATE(22,7,1)</f>
        <v>8218</v>
      </c>
      <c r="C164" s="226">
        <v>239506696.31999999</v>
      </c>
      <c r="D164" s="226">
        <v>21735779.219999999</v>
      </c>
      <c r="E164" s="226">
        <v>21441670.739999998</v>
      </c>
      <c r="F164" s="166">
        <f t="shared" ref="F164:F174" si="33">(+D164-E164)/E164</f>
        <v>1.3716677378658435E-2</v>
      </c>
      <c r="G164" s="241">
        <f t="shared" ref="G164:G174" si="34">D164/C164</f>
        <v>9.0752281894278516E-2</v>
      </c>
      <c r="H164" s="242">
        <f t="shared" ref="H164:H174" si="35">1-G164</f>
        <v>0.90924771810572147</v>
      </c>
      <c r="I164" s="157"/>
    </row>
    <row r="165" spans="1:9" ht="15.75" x14ac:dyDescent="0.25">
      <c r="A165" s="164"/>
      <c r="B165" s="165">
        <f>DATE(22,8,1)</f>
        <v>8249</v>
      </c>
      <c r="C165" s="226">
        <v>220146005.59</v>
      </c>
      <c r="D165" s="226">
        <v>20453352.670000002</v>
      </c>
      <c r="E165" s="226">
        <v>19679228.600000001</v>
      </c>
      <c r="F165" s="166">
        <f t="shared" si="33"/>
        <v>3.9337114565557732E-2</v>
      </c>
      <c r="G165" s="241">
        <f t="shared" si="34"/>
        <v>9.2908125292503974E-2</v>
      </c>
      <c r="H165" s="242">
        <f t="shared" si="35"/>
        <v>0.90709187470749608</v>
      </c>
      <c r="I165" s="157"/>
    </row>
    <row r="166" spans="1:9" ht="15.75" x14ac:dyDescent="0.25">
      <c r="A166" s="164"/>
      <c r="B166" s="165">
        <f>DATE(22,9,1)</f>
        <v>8280</v>
      </c>
      <c r="C166" s="226">
        <v>219043118.49000001</v>
      </c>
      <c r="D166" s="226">
        <v>19785542.02</v>
      </c>
      <c r="E166" s="226">
        <v>19466571.379999999</v>
      </c>
      <c r="F166" s="166">
        <f t="shared" si="33"/>
        <v>1.638555828725503E-2</v>
      </c>
      <c r="G166" s="241">
        <f t="shared" si="34"/>
        <v>9.0327156390002133E-2</v>
      </c>
      <c r="H166" s="242">
        <f t="shared" si="35"/>
        <v>0.90967284360999789</v>
      </c>
      <c r="I166" s="157"/>
    </row>
    <row r="167" spans="1:9" ht="15.75" x14ac:dyDescent="0.25">
      <c r="A167" s="164"/>
      <c r="B167" s="165">
        <f>DATE(22,10,1)</f>
        <v>8310</v>
      </c>
      <c r="C167" s="226">
        <v>217723657.16999999</v>
      </c>
      <c r="D167" s="226">
        <v>19416414.079999998</v>
      </c>
      <c r="E167" s="226">
        <v>20992171.949999999</v>
      </c>
      <c r="F167" s="166">
        <f t="shared" si="33"/>
        <v>-7.5064070252149451E-2</v>
      </c>
      <c r="G167" s="241">
        <f t="shared" si="34"/>
        <v>8.9179165610099698E-2</v>
      </c>
      <c r="H167" s="242">
        <f t="shared" si="35"/>
        <v>0.91082083438990025</v>
      </c>
      <c r="I167" s="157"/>
    </row>
    <row r="168" spans="1:9" ht="15.75" x14ac:dyDescent="0.25">
      <c r="A168" s="164"/>
      <c r="B168" s="165">
        <f>DATE(22,11,1)</f>
        <v>8341</v>
      </c>
      <c r="C168" s="226">
        <v>209644418.53</v>
      </c>
      <c r="D168" s="226">
        <v>19493781.030000001</v>
      </c>
      <c r="E168" s="226">
        <v>19425579.760000002</v>
      </c>
      <c r="F168" s="166">
        <f t="shared" si="33"/>
        <v>3.5109001040182879E-3</v>
      </c>
      <c r="G168" s="241">
        <f t="shared" si="34"/>
        <v>9.2984975067249176E-2</v>
      </c>
      <c r="H168" s="242">
        <f t="shared" si="35"/>
        <v>0.90701502493275088</v>
      </c>
      <c r="I168" s="157"/>
    </row>
    <row r="169" spans="1:9" ht="15.75" x14ac:dyDescent="0.25">
      <c r="A169" s="164"/>
      <c r="B169" s="165">
        <f>DATE(22,12,1)</f>
        <v>8371</v>
      </c>
      <c r="C169" s="226">
        <v>224820837.77000001</v>
      </c>
      <c r="D169" s="226">
        <v>20690373.02</v>
      </c>
      <c r="E169" s="226">
        <v>21621662.719999999</v>
      </c>
      <c r="F169" s="166">
        <f t="shared" si="33"/>
        <v>-4.3072066753615482E-2</v>
      </c>
      <c r="G169" s="241">
        <f t="shared" si="34"/>
        <v>9.2030495149951416E-2</v>
      </c>
      <c r="H169" s="242">
        <f t="shared" si="35"/>
        <v>0.90796950485004857</v>
      </c>
      <c r="I169" s="157"/>
    </row>
    <row r="170" spans="1:9" ht="15.75" x14ac:dyDescent="0.25">
      <c r="A170" s="164"/>
      <c r="B170" s="165">
        <f>DATE(23,1,1)</f>
        <v>8402</v>
      </c>
      <c r="C170" s="226">
        <v>213059071.5</v>
      </c>
      <c r="D170" s="226">
        <v>20127849.170000002</v>
      </c>
      <c r="E170" s="226">
        <v>18690342.719999999</v>
      </c>
      <c r="F170" s="166">
        <f t="shared" si="33"/>
        <v>7.6911722354976869E-2</v>
      </c>
      <c r="G170" s="241">
        <f t="shared" si="34"/>
        <v>9.4470744795299655E-2</v>
      </c>
      <c r="H170" s="242">
        <f t="shared" si="35"/>
        <v>0.90552925520470029</v>
      </c>
      <c r="I170" s="157"/>
    </row>
    <row r="171" spans="1:9" ht="15.75" x14ac:dyDescent="0.25">
      <c r="A171" s="164"/>
      <c r="B171" s="165">
        <f>DATE(23,2,1)</f>
        <v>8433</v>
      </c>
      <c r="C171" s="226">
        <v>208322006.68000001</v>
      </c>
      <c r="D171" s="226">
        <v>19683573.59</v>
      </c>
      <c r="E171" s="226">
        <v>18139556.949999999</v>
      </c>
      <c r="F171" s="166">
        <f t="shared" si="33"/>
        <v>8.5118762506490031E-2</v>
      </c>
      <c r="G171" s="241">
        <f t="shared" si="34"/>
        <v>9.4486290256581548E-2</v>
      </c>
      <c r="H171" s="242">
        <f t="shared" si="35"/>
        <v>0.90551370974341849</v>
      </c>
      <c r="I171" s="157"/>
    </row>
    <row r="172" spans="1:9" ht="15.75" x14ac:dyDescent="0.25">
      <c r="A172" s="164"/>
      <c r="B172" s="165">
        <f>DATE(23,3,1)</f>
        <v>8461</v>
      </c>
      <c r="C172" s="226">
        <v>230091201.56</v>
      </c>
      <c r="D172" s="226">
        <v>21826103.260000002</v>
      </c>
      <c r="E172" s="226">
        <v>21560181.280000001</v>
      </c>
      <c r="F172" s="166">
        <f t="shared" si="33"/>
        <v>1.2333939893477577E-2</v>
      </c>
      <c r="G172" s="241">
        <f t="shared" si="34"/>
        <v>9.4858487034796476E-2</v>
      </c>
      <c r="H172" s="242">
        <f t="shared" si="35"/>
        <v>0.90514151296520351</v>
      </c>
      <c r="I172" s="157"/>
    </row>
    <row r="173" spans="1:9" ht="15.75" x14ac:dyDescent="0.25">
      <c r="A173" s="164"/>
      <c r="B173" s="165">
        <f>DATE(23,4,1)</f>
        <v>8492</v>
      </c>
      <c r="C173" s="226">
        <v>220344800.13999999</v>
      </c>
      <c r="D173" s="226">
        <v>21507201.809999999</v>
      </c>
      <c r="E173" s="226">
        <v>20708642.59</v>
      </c>
      <c r="F173" s="166">
        <f t="shared" si="33"/>
        <v>3.8561639978547661E-2</v>
      </c>
      <c r="G173" s="241">
        <f t="shared" si="34"/>
        <v>9.760703132697035E-2</v>
      </c>
      <c r="H173" s="242">
        <f t="shared" si="35"/>
        <v>0.90239296867302965</v>
      </c>
      <c r="I173" s="157"/>
    </row>
    <row r="174" spans="1:9" ht="15.75" x14ac:dyDescent="0.25">
      <c r="A174" s="164"/>
      <c r="B174" s="165">
        <f>DATE(23,5,1)</f>
        <v>8522</v>
      </c>
      <c r="C174" s="226">
        <v>211308047.09</v>
      </c>
      <c r="D174" s="226">
        <v>19648589.84</v>
      </c>
      <c r="E174" s="226">
        <v>20421283.670000002</v>
      </c>
      <c r="F174" s="166">
        <f t="shared" si="33"/>
        <v>-3.7837671837208355E-2</v>
      </c>
      <c r="G174" s="241">
        <f t="shared" si="34"/>
        <v>9.2985525684364037E-2</v>
      </c>
      <c r="H174" s="242">
        <f t="shared" si="35"/>
        <v>0.90701447431563598</v>
      </c>
      <c r="I174" s="157"/>
    </row>
    <row r="175" spans="1:9" ht="15.75" thickBot="1" x14ac:dyDescent="0.25">
      <c r="A175" s="167"/>
      <c r="B175" s="168"/>
      <c r="C175" s="226"/>
      <c r="D175" s="226"/>
      <c r="E175" s="226"/>
      <c r="F175" s="166"/>
      <c r="G175" s="241"/>
      <c r="H175" s="242"/>
      <c r="I175" s="157"/>
    </row>
    <row r="176" spans="1:9" ht="17.25" thickTop="1" thickBot="1" x14ac:dyDescent="0.3">
      <c r="A176" s="174" t="s">
        <v>14</v>
      </c>
      <c r="B176" s="175"/>
      <c r="C176" s="228">
        <f>SUM(C164:C175)</f>
        <v>2414009860.8400002</v>
      </c>
      <c r="D176" s="228">
        <f>SUM(D164:D175)</f>
        <v>224368559.70999998</v>
      </c>
      <c r="E176" s="228">
        <f>SUM(E164:E175)</f>
        <v>222146892.36000001</v>
      </c>
      <c r="F176" s="176">
        <f>(+D176-E176)/E176</f>
        <v>1.0000893221588005E-2</v>
      </c>
      <c r="G176" s="245">
        <f>D176/C176</f>
        <v>9.2944342668064631E-2</v>
      </c>
      <c r="H176" s="246">
        <f>1-G176</f>
        <v>0.90705565733193538</v>
      </c>
      <c r="I176" s="157"/>
    </row>
    <row r="177" spans="1:9" ht="15.75" thickTop="1" x14ac:dyDescent="0.2">
      <c r="A177" s="167"/>
      <c r="B177" s="168"/>
      <c r="C177" s="226"/>
      <c r="D177" s="226"/>
      <c r="E177" s="226"/>
      <c r="F177" s="166"/>
      <c r="G177" s="241"/>
      <c r="H177" s="242"/>
      <c r="I177" s="157"/>
    </row>
    <row r="178" spans="1:9" ht="15.75" x14ac:dyDescent="0.25">
      <c r="A178" s="164" t="s">
        <v>57</v>
      </c>
      <c r="B178" s="165">
        <f>DATE(22,7,1)</f>
        <v>8218</v>
      </c>
      <c r="C178" s="226">
        <v>35319959.490000002</v>
      </c>
      <c r="D178" s="226">
        <v>3941098.7</v>
      </c>
      <c r="E178" s="226">
        <v>3963905.07</v>
      </c>
      <c r="F178" s="166">
        <f t="shared" ref="F178:F188" si="36">(+D178-E178)/E178</f>
        <v>-5.7535106409598372E-3</v>
      </c>
      <c r="G178" s="241">
        <f t="shared" ref="G178:G188" si="37">D178/C178</f>
        <v>0.11158276387932516</v>
      </c>
      <c r="H178" s="242">
        <f t="shared" ref="H178:H188" si="38">1-G178</f>
        <v>0.8884172361206748</v>
      </c>
      <c r="I178" s="157"/>
    </row>
    <row r="179" spans="1:9" ht="15.75" x14ac:dyDescent="0.25">
      <c r="A179" s="164"/>
      <c r="B179" s="165">
        <f>DATE(22,8,1)</f>
        <v>8249</v>
      </c>
      <c r="C179" s="226">
        <v>32131032.469999999</v>
      </c>
      <c r="D179" s="226">
        <v>3508347.49</v>
      </c>
      <c r="E179" s="226">
        <v>3797696.16</v>
      </c>
      <c r="F179" s="166">
        <f t="shared" si="36"/>
        <v>-7.6190579185250018E-2</v>
      </c>
      <c r="G179" s="241">
        <f t="shared" si="37"/>
        <v>0.10918875679689606</v>
      </c>
      <c r="H179" s="242">
        <f t="shared" si="38"/>
        <v>0.8908112432031039</v>
      </c>
      <c r="I179" s="157"/>
    </row>
    <row r="180" spans="1:9" ht="15.75" x14ac:dyDescent="0.25">
      <c r="A180" s="164"/>
      <c r="B180" s="165">
        <f>DATE(22,9,1)</f>
        <v>8280</v>
      </c>
      <c r="C180" s="226">
        <v>32450974.030000001</v>
      </c>
      <c r="D180" s="226">
        <v>3766686.61</v>
      </c>
      <c r="E180" s="226">
        <v>3519488.37</v>
      </c>
      <c r="F180" s="166">
        <f t="shared" si="36"/>
        <v>7.0236981632645579E-2</v>
      </c>
      <c r="G180" s="241">
        <f t="shared" si="37"/>
        <v>0.11607314487749444</v>
      </c>
      <c r="H180" s="242">
        <f t="shared" si="38"/>
        <v>0.88392685512250557</v>
      </c>
      <c r="I180" s="157"/>
    </row>
    <row r="181" spans="1:9" ht="15.75" x14ac:dyDescent="0.25">
      <c r="A181" s="164"/>
      <c r="B181" s="165">
        <f>DATE(22,10,1)</f>
        <v>8310</v>
      </c>
      <c r="C181" s="226">
        <v>32407148.93</v>
      </c>
      <c r="D181" s="226">
        <v>3644045.37</v>
      </c>
      <c r="E181" s="226">
        <v>3955357.96</v>
      </c>
      <c r="F181" s="166">
        <f t="shared" si="36"/>
        <v>-7.8706552769246665E-2</v>
      </c>
      <c r="G181" s="241">
        <f t="shared" si="37"/>
        <v>0.11244572541296986</v>
      </c>
      <c r="H181" s="242">
        <f t="shared" si="38"/>
        <v>0.88755427458703018</v>
      </c>
      <c r="I181" s="157"/>
    </row>
    <row r="182" spans="1:9" ht="15.75" x14ac:dyDescent="0.25">
      <c r="A182" s="164"/>
      <c r="B182" s="165">
        <f>DATE(22,11,1)</f>
        <v>8341</v>
      </c>
      <c r="C182" s="226">
        <v>30807154.699999999</v>
      </c>
      <c r="D182" s="226">
        <v>3367619.94</v>
      </c>
      <c r="E182" s="226">
        <v>3600834.91</v>
      </c>
      <c r="F182" s="166">
        <f t="shared" si="36"/>
        <v>-6.476691540407227E-2</v>
      </c>
      <c r="G182" s="241">
        <f t="shared" si="37"/>
        <v>0.10931291684655318</v>
      </c>
      <c r="H182" s="242">
        <f t="shared" si="38"/>
        <v>0.8906870831534468</v>
      </c>
      <c r="I182" s="157"/>
    </row>
    <row r="183" spans="1:9" ht="15.75" x14ac:dyDescent="0.25">
      <c r="A183" s="164"/>
      <c r="B183" s="165">
        <f>DATE(22,12,1)</f>
        <v>8371</v>
      </c>
      <c r="C183" s="226">
        <v>34580559.600000001</v>
      </c>
      <c r="D183" s="226">
        <v>3754875.29</v>
      </c>
      <c r="E183" s="226">
        <v>3929490.08</v>
      </c>
      <c r="F183" s="166">
        <f t="shared" si="36"/>
        <v>-4.4437010005125149E-2</v>
      </c>
      <c r="G183" s="241">
        <f t="shared" si="37"/>
        <v>0.10858341604165364</v>
      </c>
      <c r="H183" s="242">
        <f t="shared" si="38"/>
        <v>0.89141658395834633</v>
      </c>
      <c r="I183" s="157"/>
    </row>
    <row r="184" spans="1:9" ht="15.75" x14ac:dyDescent="0.25">
      <c r="A184" s="164"/>
      <c r="B184" s="165">
        <f>DATE(23,1,1)</f>
        <v>8402</v>
      </c>
      <c r="C184" s="226">
        <v>31650112.370000001</v>
      </c>
      <c r="D184" s="226">
        <v>3530111.77</v>
      </c>
      <c r="E184" s="226">
        <v>3412089.33</v>
      </c>
      <c r="F184" s="166">
        <f t="shared" si="36"/>
        <v>3.4589493001345291E-2</v>
      </c>
      <c r="G184" s="241">
        <f t="shared" si="37"/>
        <v>0.1115355209084839</v>
      </c>
      <c r="H184" s="242">
        <f t="shared" si="38"/>
        <v>0.88846447909151616</v>
      </c>
      <c r="I184" s="157"/>
    </row>
    <row r="185" spans="1:9" ht="15.75" x14ac:dyDescent="0.25">
      <c r="A185" s="164"/>
      <c r="B185" s="165">
        <f>DATE(23,2,1)</f>
        <v>8433</v>
      </c>
      <c r="C185" s="226">
        <v>35560292.880000003</v>
      </c>
      <c r="D185" s="226">
        <v>3950011.33</v>
      </c>
      <c r="E185" s="226">
        <v>3898386.72</v>
      </c>
      <c r="F185" s="166">
        <f t="shared" si="36"/>
        <v>1.3242557423856572E-2</v>
      </c>
      <c r="G185" s="241">
        <f t="shared" si="37"/>
        <v>0.1110792687599484</v>
      </c>
      <c r="H185" s="242">
        <f t="shared" si="38"/>
        <v>0.88892073124005155</v>
      </c>
      <c r="I185" s="157"/>
    </row>
    <row r="186" spans="1:9" ht="15.75" x14ac:dyDescent="0.25">
      <c r="A186" s="164"/>
      <c r="B186" s="165">
        <f>DATE(23,3,1)</f>
        <v>8461</v>
      </c>
      <c r="C186" s="226">
        <v>39760286.060000002</v>
      </c>
      <c r="D186" s="226">
        <v>4407775.3899999997</v>
      </c>
      <c r="E186" s="226">
        <v>4277132.01</v>
      </c>
      <c r="F186" s="166">
        <f t="shared" si="36"/>
        <v>3.0544621885542387E-2</v>
      </c>
      <c r="G186" s="241">
        <f t="shared" si="37"/>
        <v>0.11085874441015024</v>
      </c>
      <c r="H186" s="242">
        <f t="shared" si="38"/>
        <v>0.8891412555898498</v>
      </c>
      <c r="I186" s="157"/>
    </row>
    <row r="187" spans="1:9" ht="15.75" x14ac:dyDescent="0.25">
      <c r="A187" s="164"/>
      <c r="B187" s="165">
        <f>DATE(23,4,1)</f>
        <v>8492</v>
      </c>
      <c r="C187" s="226">
        <v>37221039.270000003</v>
      </c>
      <c r="D187" s="226">
        <v>4100329.58</v>
      </c>
      <c r="E187" s="226">
        <v>4391413.75</v>
      </c>
      <c r="F187" s="166">
        <f t="shared" si="36"/>
        <v>-6.6284842779845088E-2</v>
      </c>
      <c r="G187" s="241">
        <f t="shared" si="37"/>
        <v>0.11016160914412855</v>
      </c>
      <c r="H187" s="242">
        <f t="shared" si="38"/>
        <v>0.88983839085587146</v>
      </c>
      <c r="I187" s="157"/>
    </row>
    <row r="188" spans="1:9" ht="15.75" x14ac:dyDescent="0.25">
      <c r="A188" s="164"/>
      <c r="B188" s="165">
        <f>DATE(23,5,1)</f>
        <v>8522</v>
      </c>
      <c r="C188" s="226">
        <v>34466019.630000003</v>
      </c>
      <c r="D188" s="226">
        <v>3909436.47</v>
      </c>
      <c r="E188" s="226">
        <v>3881631.19</v>
      </c>
      <c r="F188" s="166">
        <f t="shared" si="36"/>
        <v>7.1632977578171874E-3</v>
      </c>
      <c r="G188" s="241">
        <f t="shared" si="37"/>
        <v>0.11342871941606911</v>
      </c>
      <c r="H188" s="242">
        <f t="shared" si="38"/>
        <v>0.88657128058393087</v>
      </c>
      <c r="I188" s="157"/>
    </row>
    <row r="189" spans="1:9" ht="15.75" thickBot="1" x14ac:dyDescent="0.25">
      <c r="A189" s="167"/>
      <c r="B189" s="168"/>
      <c r="C189" s="226"/>
      <c r="D189" s="226"/>
      <c r="E189" s="226"/>
      <c r="F189" s="166"/>
      <c r="G189" s="241"/>
      <c r="H189" s="242"/>
      <c r="I189" s="157"/>
    </row>
    <row r="190" spans="1:9" ht="17.25" thickTop="1" thickBot="1" x14ac:dyDescent="0.3">
      <c r="A190" s="169" t="s">
        <v>14</v>
      </c>
      <c r="B190" s="155"/>
      <c r="C190" s="223">
        <f>SUM(C178:C189)</f>
        <v>376354579.42999995</v>
      </c>
      <c r="D190" s="223">
        <f>SUM(D178:D189)</f>
        <v>41880337.939999998</v>
      </c>
      <c r="E190" s="223">
        <f>SUM(E178:E189)</f>
        <v>42627425.549999997</v>
      </c>
      <c r="F190" s="176">
        <f>(+D190-E190)/E190</f>
        <v>-1.7525984747160023E-2</v>
      </c>
      <c r="G190" s="245">
        <f>D190/C190</f>
        <v>0.11127893807863053</v>
      </c>
      <c r="H190" s="246">
        <f>1-G190</f>
        <v>0.88872106192136946</v>
      </c>
      <c r="I190" s="157"/>
    </row>
    <row r="191" spans="1:9" ht="16.5" thickTop="1" thickBot="1" x14ac:dyDescent="0.25">
      <c r="A191" s="171"/>
      <c r="B191" s="172"/>
      <c r="C191" s="227"/>
      <c r="D191" s="227"/>
      <c r="E191" s="227"/>
      <c r="F191" s="173"/>
      <c r="G191" s="243"/>
      <c r="H191" s="244"/>
      <c r="I191" s="157"/>
    </row>
    <row r="192" spans="1:9" ht="17.25" thickTop="1" thickBot="1" x14ac:dyDescent="0.3">
      <c r="A192" s="184" t="s">
        <v>38</v>
      </c>
      <c r="B192" s="155"/>
      <c r="C192" s="223">
        <f>C190+C176+C134+C106+C78+C50+C22+C64+C162+C36+C120+C148+C92</f>
        <v>15596823160.65</v>
      </c>
      <c r="D192" s="223">
        <f>D190+D176+D134+D106+D78+D50+D22+D64+D162+D36+D120+D148+D92</f>
        <v>1510154067.7699997</v>
      </c>
      <c r="E192" s="223">
        <f>E190+E176+E134+E106+E78+E50+E22+E64+E162+E36+E120+E148+E92</f>
        <v>1505466012.5599999</v>
      </c>
      <c r="F192" s="170">
        <f>(+D192-E192)/E192</f>
        <v>3.1140226155141836E-3</v>
      </c>
      <c r="G192" s="236">
        <f>D192/C192</f>
        <v>9.6824465611692168E-2</v>
      </c>
      <c r="H192" s="237">
        <f>1-G192</f>
        <v>0.90317553438830789</v>
      </c>
      <c r="I192" s="157"/>
    </row>
    <row r="193" spans="1:9" ht="17.25" thickTop="1" thickBot="1" x14ac:dyDescent="0.3">
      <c r="A193" s="184"/>
      <c r="B193" s="155"/>
      <c r="C193" s="223"/>
      <c r="D193" s="223"/>
      <c r="E193" s="223"/>
      <c r="F193" s="170"/>
      <c r="G193" s="236"/>
      <c r="H193" s="237"/>
      <c r="I193" s="157"/>
    </row>
    <row r="194" spans="1:9" ht="17.25" thickTop="1" thickBot="1" x14ac:dyDescent="0.3">
      <c r="A194" s="184" t="s">
        <v>39</v>
      </c>
      <c r="B194" s="155"/>
      <c r="C194" s="223">
        <f>+C20+C34+C48+C62+C76+C90+C104+C118+C132+C146+C160+C174+C188</f>
        <v>1417218782.24</v>
      </c>
      <c r="D194" s="223">
        <f>+D20+D34+D48+D62+D76+D90+D104+D118+D132+D146+D160+D174+D188</f>
        <v>137584353.59</v>
      </c>
      <c r="E194" s="223">
        <f>+E20+E34+E48+E62+E76+E90+E104+E118+E132+E146+E160+E174+E188</f>
        <v>140384476.59999996</v>
      </c>
      <c r="F194" s="170">
        <f>(+D194-E194)/E194</f>
        <v>-1.9946101433838744E-2</v>
      </c>
      <c r="G194" s="236">
        <f>D194/C194</f>
        <v>9.708053217622449E-2</v>
      </c>
      <c r="H194" s="246">
        <f>1-G194</f>
        <v>0.90291946782377552</v>
      </c>
      <c r="I194" s="157"/>
    </row>
    <row r="195" spans="1:9" ht="16.5" thickTop="1" x14ac:dyDescent="0.25">
      <c r="A195" s="185"/>
      <c r="B195" s="186"/>
      <c r="C195" s="231"/>
      <c r="D195" s="231"/>
      <c r="E195" s="231"/>
      <c r="F195" s="187"/>
      <c r="G195" s="250"/>
      <c r="H195" s="250"/>
      <c r="I195" s="151"/>
    </row>
    <row r="196" spans="1:9" ht="16.5" customHeight="1" x14ac:dyDescent="0.3">
      <c r="A196" s="188" t="s">
        <v>49</v>
      </c>
      <c r="B196" s="189"/>
      <c r="C196" s="232"/>
      <c r="D196" s="232"/>
      <c r="E196" s="232"/>
      <c r="F196" s="190"/>
      <c r="G196" s="251"/>
      <c r="H196" s="251"/>
      <c r="I196" s="151"/>
    </row>
    <row r="197" spans="1:9" ht="15.75" x14ac:dyDescent="0.25">
      <c r="A197" s="191"/>
      <c r="B197" s="189"/>
      <c r="C197" s="232"/>
      <c r="D197" s="232"/>
      <c r="E197" s="232"/>
      <c r="F197" s="190"/>
      <c r="G197" s="257"/>
      <c r="H197" s="257"/>
      <c r="I197" s="151"/>
    </row>
    <row r="198" spans="1:9" ht="15.75" x14ac:dyDescent="0.25">
      <c r="A198" s="72"/>
      <c r="I198" s="151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4" manualBreakCount="4">
    <brk id="50" max="8" man="1"/>
    <brk id="92" max="8" man="1"/>
    <brk id="134" max="8" man="1"/>
    <brk id="1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2023-06-08T14:03:21Z</cp:lastPrinted>
  <dcterms:created xsi:type="dcterms:W3CDTF">2003-09-09T14:41:43Z</dcterms:created>
  <dcterms:modified xsi:type="dcterms:W3CDTF">2023-06-08T20:02:27Z</dcterms:modified>
</cp:coreProperties>
</file>