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STATS'!$A$1:$M$65</definedName>
    <definedName name="_xlnm.Print_Area" localSheetId="4">'SLOT STATS'!$A$1:$I$66</definedName>
    <definedName name="_xlnm.Print_Area" localSheetId="2">'TABLE STATS'!$A$1:$H$65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B58" i="4" l="1"/>
  <c r="B54" i="4"/>
  <c r="B50" i="4"/>
  <c r="B46" i="4"/>
  <c r="B42" i="4"/>
  <c r="B38" i="4"/>
  <c r="B34" i="4"/>
  <c r="B30" i="4"/>
  <c r="B26" i="4"/>
  <c r="B22" i="4"/>
  <c r="B18" i="4"/>
  <c r="B14" i="4"/>
  <c r="B10" i="4"/>
  <c r="E64" i="4"/>
  <c r="D64" i="4"/>
  <c r="C64" i="4"/>
  <c r="B58" i="5"/>
  <c r="B54" i="5"/>
  <c r="B50" i="5"/>
  <c r="B46" i="5"/>
  <c r="B42" i="5"/>
  <c r="B38" i="5"/>
  <c r="B34" i="5"/>
  <c r="B30" i="5"/>
  <c r="B26" i="5"/>
  <c r="B22" i="5"/>
  <c r="B18" i="5"/>
  <c r="B14" i="5"/>
  <c r="B10" i="5"/>
  <c r="E64" i="5"/>
  <c r="D64" i="5"/>
  <c r="C64" i="5"/>
  <c r="E63" i="3"/>
  <c r="D63" i="3"/>
  <c r="C63" i="3"/>
  <c r="B57" i="3"/>
  <c r="B53" i="3"/>
  <c r="B49" i="3"/>
  <c r="B45" i="3"/>
  <c r="B41" i="3"/>
  <c r="B37" i="3"/>
  <c r="B33" i="3"/>
  <c r="B29" i="3"/>
  <c r="B25" i="3"/>
  <c r="B21" i="3"/>
  <c r="B17" i="3"/>
  <c r="B13" i="3"/>
  <c r="B9" i="3"/>
  <c r="A31" i="2"/>
  <c r="A10" i="2"/>
  <c r="G57" i="1"/>
  <c r="F57" i="1"/>
  <c r="G53" i="1"/>
  <c r="F53" i="1"/>
  <c r="G49" i="1"/>
  <c r="F49" i="1"/>
  <c r="G45" i="1"/>
  <c r="F45" i="1"/>
  <c r="G41" i="1"/>
  <c r="F41" i="1"/>
  <c r="G37" i="1"/>
  <c r="F37" i="1"/>
  <c r="G33" i="1"/>
  <c r="F33" i="1"/>
  <c r="G29" i="1"/>
  <c r="F29" i="1"/>
  <c r="G25" i="1"/>
  <c r="F25" i="1"/>
  <c r="G21" i="1"/>
  <c r="F21" i="1"/>
  <c r="J21" i="1"/>
  <c r="G17" i="1"/>
  <c r="F17" i="1"/>
  <c r="G13" i="1"/>
  <c r="G15" i="1"/>
  <c r="F13" i="1"/>
  <c r="G9" i="1"/>
  <c r="F9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L63" i="1"/>
  <c r="K63" i="1"/>
  <c r="D63" i="1"/>
  <c r="C63" i="1"/>
  <c r="J45" i="1"/>
  <c r="F11" i="1"/>
  <c r="F54" i="5"/>
  <c r="J49" i="1"/>
  <c r="J29" i="1"/>
  <c r="F19" i="1"/>
  <c r="F15" i="1"/>
  <c r="G54" i="5"/>
  <c r="H54" i="5"/>
  <c r="B10" i="2"/>
  <c r="B23" i="2"/>
  <c r="E60" i="5"/>
  <c r="D60" i="5"/>
  <c r="C60" i="5"/>
  <c r="E56" i="5"/>
  <c r="D56" i="5"/>
  <c r="C56" i="5"/>
  <c r="E52" i="5"/>
  <c r="D52" i="5"/>
  <c r="C52" i="5"/>
  <c r="E48" i="5"/>
  <c r="D48" i="5"/>
  <c r="C48" i="5"/>
  <c r="E44" i="5"/>
  <c r="D44" i="5"/>
  <c r="C44" i="5"/>
  <c r="E40" i="5"/>
  <c r="D40" i="5"/>
  <c r="C40" i="5"/>
  <c r="E36" i="5"/>
  <c r="D36" i="5"/>
  <c r="C36" i="5"/>
  <c r="E32" i="5"/>
  <c r="D32" i="5"/>
  <c r="C32" i="5"/>
  <c r="E28" i="5"/>
  <c r="D28" i="5"/>
  <c r="C28" i="5"/>
  <c r="E24" i="5"/>
  <c r="D24" i="5"/>
  <c r="C24" i="5"/>
  <c r="E20" i="5"/>
  <c r="D20" i="5"/>
  <c r="C20" i="5"/>
  <c r="E16" i="5"/>
  <c r="D16" i="5"/>
  <c r="C16" i="5"/>
  <c r="E12" i="5"/>
  <c r="D12" i="5"/>
  <c r="C12" i="5"/>
  <c r="L23" i="1"/>
  <c r="F30" i="4"/>
  <c r="F29" i="3"/>
  <c r="M29" i="1"/>
  <c r="E29" i="1"/>
  <c r="F58" i="4"/>
  <c r="F57" i="3"/>
  <c r="G31" i="2"/>
  <c r="G10" i="2"/>
  <c r="M57" i="1"/>
  <c r="E57" i="1"/>
  <c r="E32" i="4"/>
  <c r="D32" i="4"/>
  <c r="C32" i="4"/>
  <c r="G30" i="4"/>
  <c r="H30" i="4"/>
  <c r="E31" i="3"/>
  <c r="D31" i="3"/>
  <c r="C31" i="3"/>
  <c r="G29" i="3"/>
  <c r="L31" i="1"/>
  <c r="D31" i="1"/>
  <c r="C31" i="1"/>
  <c r="I29" i="1"/>
  <c r="G58" i="4"/>
  <c r="H58" i="4"/>
  <c r="G57" i="3"/>
  <c r="I57" i="1"/>
  <c r="D11" i="1"/>
  <c r="D15" i="1"/>
  <c r="D19" i="1"/>
  <c r="D23" i="1"/>
  <c r="D27" i="1"/>
  <c r="D35" i="1"/>
  <c r="D39" i="1"/>
  <c r="D43" i="1"/>
  <c r="D47" i="1"/>
  <c r="D51" i="1"/>
  <c r="D55" i="1"/>
  <c r="D59" i="1"/>
  <c r="C59" i="1"/>
  <c r="C60" i="4"/>
  <c r="D60" i="4"/>
  <c r="C59" i="3"/>
  <c r="D59" i="3"/>
  <c r="E12" i="4"/>
  <c r="E16" i="4"/>
  <c r="E20" i="4"/>
  <c r="E24" i="4"/>
  <c r="E28" i="4"/>
  <c r="E36" i="4"/>
  <c r="E40" i="4"/>
  <c r="E44" i="4"/>
  <c r="E48" i="4"/>
  <c r="E52" i="4"/>
  <c r="E56" i="4"/>
  <c r="E60" i="4"/>
  <c r="D12" i="4"/>
  <c r="D16" i="4"/>
  <c r="D20" i="4"/>
  <c r="D24" i="4"/>
  <c r="D28" i="4"/>
  <c r="D36" i="4"/>
  <c r="D40" i="4"/>
  <c r="D44" i="4"/>
  <c r="D48" i="4"/>
  <c r="D52" i="4"/>
  <c r="D56" i="4"/>
  <c r="C12" i="4"/>
  <c r="C16" i="4"/>
  <c r="C20" i="4"/>
  <c r="C24" i="4"/>
  <c r="C28" i="4"/>
  <c r="C36" i="4"/>
  <c r="C40" i="4"/>
  <c r="C44" i="4"/>
  <c r="C48" i="4"/>
  <c r="C52" i="4"/>
  <c r="C56" i="4"/>
  <c r="F46" i="4"/>
  <c r="E11" i="3"/>
  <c r="E15" i="3"/>
  <c r="E19" i="3"/>
  <c r="E23" i="3"/>
  <c r="E27" i="3"/>
  <c r="E35" i="3"/>
  <c r="E39" i="3"/>
  <c r="E43" i="3"/>
  <c r="E47" i="3"/>
  <c r="E51" i="3"/>
  <c r="E55" i="3"/>
  <c r="E59" i="3"/>
  <c r="D11" i="3"/>
  <c r="D15" i="3"/>
  <c r="D19" i="3"/>
  <c r="D23" i="3"/>
  <c r="D27" i="3"/>
  <c r="D35" i="3"/>
  <c r="D39" i="3"/>
  <c r="D43" i="3"/>
  <c r="D47" i="3"/>
  <c r="D51" i="3"/>
  <c r="D55" i="3"/>
  <c r="C11" i="3"/>
  <c r="C15" i="3"/>
  <c r="C19" i="3"/>
  <c r="C23" i="3"/>
  <c r="C27" i="3"/>
  <c r="C35" i="3"/>
  <c r="C39" i="3"/>
  <c r="C43" i="3"/>
  <c r="C47" i="3"/>
  <c r="C51" i="3"/>
  <c r="C55" i="3"/>
  <c r="F45" i="3"/>
  <c r="M45" i="1"/>
  <c r="E45" i="1"/>
  <c r="L11" i="1"/>
  <c r="L15" i="1"/>
  <c r="L19" i="1"/>
  <c r="L27" i="1"/>
  <c r="L35" i="1"/>
  <c r="L39" i="1"/>
  <c r="L43" i="1"/>
  <c r="L47" i="1"/>
  <c r="L51" i="1"/>
  <c r="L55" i="1"/>
  <c r="K11" i="1"/>
  <c r="K15" i="1"/>
  <c r="C11" i="1"/>
  <c r="C15" i="1"/>
  <c r="C19" i="1"/>
  <c r="C23" i="1"/>
  <c r="C27" i="1"/>
  <c r="E27" i="1"/>
  <c r="C35" i="1"/>
  <c r="C39" i="1"/>
  <c r="C43" i="1"/>
  <c r="C47" i="1"/>
  <c r="C51" i="1"/>
  <c r="C55" i="1"/>
  <c r="E49" i="1"/>
  <c r="I49" i="1"/>
  <c r="M49" i="1"/>
  <c r="K47" i="1"/>
  <c r="F54" i="4"/>
  <c r="K31" i="2"/>
  <c r="K10" i="2"/>
  <c r="K23" i="1"/>
  <c r="K27" i="1"/>
  <c r="K35" i="1"/>
  <c r="K39" i="1"/>
  <c r="K43" i="1"/>
  <c r="K55" i="1"/>
  <c r="I45" i="1"/>
  <c r="G46" i="4"/>
  <c r="H46" i="4"/>
  <c r="G45" i="3"/>
  <c r="F38" i="4"/>
  <c r="F37" i="3"/>
  <c r="N31" i="2"/>
  <c r="M31" i="2"/>
  <c r="L31" i="2"/>
  <c r="J31" i="2"/>
  <c r="I31" i="2"/>
  <c r="H31" i="2"/>
  <c r="F31" i="2"/>
  <c r="E31" i="2"/>
  <c r="C31" i="2"/>
  <c r="B31" i="2"/>
  <c r="M37" i="1"/>
  <c r="E37" i="1"/>
  <c r="I10" i="2"/>
  <c r="G38" i="4"/>
  <c r="H38" i="4"/>
  <c r="G42" i="4"/>
  <c r="H42" i="4"/>
  <c r="F42" i="4"/>
  <c r="G37" i="3"/>
  <c r="I37" i="1"/>
  <c r="F10" i="4"/>
  <c r="G10" i="4"/>
  <c r="H10" i="4"/>
  <c r="I9" i="1"/>
  <c r="I13" i="1"/>
  <c r="I21" i="1"/>
  <c r="I25" i="1"/>
  <c r="I33" i="1"/>
  <c r="I41" i="1"/>
  <c r="I53" i="1"/>
  <c r="E9" i="1"/>
  <c r="M9" i="1"/>
  <c r="E13" i="1"/>
  <c r="M13" i="1"/>
  <c r="E17" i="1"/>
  <c r="E21" i="1"/>
  <c r="M21" i="1"/>
  <c r="E25" i="1"/>
  <c r="M25" i="1"/>
  <c r="E33" i="1"/>
  <c r="M33" i="1"/>
  <c r="E41" i="1"/>
  <c r="M41" i="1"/>
  <c r="E53" i="1"/>
  <c r="M53" i="1"/>
  <c r="F14" i="4"/>
  <c r="G14" i="4"/>
  <c r="H14" i="4"/>
  <c r="F18" i="4"/>
  <c r="G18" i="4"/>
  <c r="H18" i="4"/>
  <c r="F22" i="4"/>
  <c r="G22" i="4"/>
  <c r="H22" i="4"/>
  <c r="F26" i="4"/>
  <c r="G26" i="4"/>
  <c r="H26" i="4"/>
  <c r="F34" i="4"/>
  <c r="G34" i="4"/>
  <c r="H34" i="4"/>
  <c r="F50" i="4"/>
  <c r="G50" i="4"/>
  <c r="H50" i="4"/>
  <c r="G54" i="4"/>
  <c r="H54" i="4"/>
  <c r="F9" i="3"/>
  <c r="F13" i="3"/>
  <c r="G13" i="3"/>
  <c r="F17" i="3"/>
  <c r="G17" i="3"/>
  <c r="F21" i="3"/>
  <c r="G21" i="3"/>
  <c r="F25" i="3"/>
  <c r="G25" i="3"/>
  <c r="F33" i="3"/>
  <c r="G33" i="3"/>
  <c r="F41" i="3"/>
  <c r="G41" i="3"/>
  <c r="F49" i="3"/>
  <c r="G49" i="3"/>
  <c r="F53" i="3"/>
  <c r="G53" i="3"/>
  <c r="G9" i="3"/>
  <c r="C10" i="2"/>
  <c r="D10" i="2"/>
  <c r="E10" i="2"/>
  <c r="F10" i="2"/>
  <c r="H10" i="2"/>
  <c r="J10" i="2"/>
  <c r="L10" i="2"/>
  <c r="M10" i="2"/>
  <c r="N10" i="2"/>
  <c r="I17" i="1"/>
  <c r="M17" i="1"/>
  <c r="K19" i="1"/>
  <c r="D31" i="2"/>
  <c r="L59" i="1"/>
  <c r="K59" i="1"/>
  <c r="K31" i="1"/>
  <c r="K51" i="1"/>
  <c r="J13" i="1"/>
  <c r="F60" i="4"/>
  <c r="F24" i="4"/>
  <c r="F36" i="4"/>
  <c r="G12" i="4"/>
  <c r="H12" i="4"/>
  <c r="G40" i="4"/>
  <c r="H40" i="4"/>
  <c r="G64" i="4"/>
  <c r="H64" i="4"/>
  <c r="F20" i="4"/>
  <c r="F56" i="4"/>
  <c r="G56" i="4"/>
  <c r="H56" i="4"/>
  <c r="G32" i="4"/>
  <c r="H32" i="4"/>
  <c r="F64" i="4"/>
  <c r="F32" i="4"/>
  <c r="F52" i="4"/>
  <c r="F16" i="4"/>
  <c r="G36" i="4"/>
  <c r="H36" i="4"/>
  <c r="F28" i="4"/>
  <c r="G24" i="4"/>
  <c r="H24" i="4"/>
  <c r="G48" i="4"/>
  <c r="H48" i="4"/>
  <c r="G60" i="4"/>
  <c r="H60" i="4"/>
  <c r="F48" i="4"/>
  <c r="G16" i="4"/>
  <c r="H16" i="4"/>
  <c r="G52" i="4"/>
  <c r="H52" i="4"/>
  <c r="G44" i="4"/>
  <c r="H44" i="4"/>
  <c r="D62" i="4"/>
  <c r="G28" i="4"/>
  <c r="H28" i="4"/>
  <c r="E62" i="4"/>
  <c r="F40" i="4"/>
  <c r="G20" i="4"/>
  <c r="H20" i="4"/>
  <c r="C62" i="4"/>
  <c r="F12" i="4"/>
  <c r="F44" i="4"/>
  <c r="F56" i="5"/>
  <c r="F12" i="5"/>
  <c r="G56" i="5"/>
  <c r="H56" i="5"/>
  <c r="G64" i="5"/>
  <c r="H64" i="5"/>
  <c r="D62" i="5"/>
  <c r="F24" i="5"/>
  <c r="E62" i="5"/>
  <c r="F64" i="5"/>
  <c r="C62" i="5"/>
  <c r="G63" i="3"/>
  <c r="F63" i="3"/>
  <c r="F43" i="3"/>
  <c r="G55" i="3"/>
  <c r="G47" i="3"/>
  <c r="G11" i="3"/>
  <c r="G43" i="3"/>
  <c r="G27" i="3"/>
  <c r="G59" i="3"/>
  <c r="G31" i="3"/>
  <c r="F11" i="3"/>
  <c r="G19" i="3"/>
  <c r="F51" i="3"/>
  <c r="F47" i="3"/>
  <c r="F31" i="3"/>
  <c r="G35" i="3"/>
  <c r="F15" i="3"/>
  <c r="F19" i="3"/>
  <c r="F23" i="3"/>
  <c r="F35" i="3"/>
  <c r="G51" i="3"/>
  <c r="F27" i="3"/>
  <c r="F39" i="3"/>
  <c r="E61" i="3"/>
  <c r="G23" i="3"/>
  <c r="F55" i="3"/>
  <c r="C61" i="3"/>
  <c r="G39" i="3"/>
  <c r="G15" i="3"/>
  <c r="D61" i="3"/>
  <c r="F59" i="3"/>
  <c r="G63" i="1"/>
  <c r="I63" i="1"/>
  <c r="F63" i="1"/>
  <c r="J63" i="1"/>
  <c r="E47" i="1"/>
  <c r="E11" i="1"/>
  <c r="H29" i="1"/>
  <c r="M39" i="1"/>
  <c r="J9" i="1"/>
  <c r="M35" i="1"/>
  <c r="H13" i="1"/>
  <c r="D23" i="2"/>
  <c r="M59" i="1"/>
  <c r="E39" i="1"/>
  <c r="I11" i="1"/>
  <c r="M27" i="1"/>
  <c r="J17" i="1"/>
  <c r="J11" i="1"/>
  <c r="E35" i="1"/>
  <c r="J19" i="1"/>
  <c r="H17" i="1"/>
  <c r="H9" i="1"/>
  <c r="F55" i="1"/>
  <c r="J55" i="1"/>
  <c r="J44" i="2"/>
  <c r="M63" i="1"/>
  <c r="N23" i="2"/>
  <c r="H45" i="1"/>
  <c r="O10" i="2"/>
  <c r="O23" i="2"/>
  <c r="E55" i="1"/>
  <c r="G55" i="1"/>
  <c r="G23" i="2"/>
  <c r="I39" i="1"/>
  <c r="C23" i="2"/>
  <c r="E63" i="1"/>
  <c r="G23" i="1"/>
  <c r="M43" i="1"/>
  <c r="E51" i="1"/>
  <c r="I23" i="2"/>
  <c r="D44" i="2"/>
  <c r="M23" i="2"/>
  <c r="L44" i="2"/>
  <c r="E44" i="2"/>
  <c r="M55" i="1"/>
  <c r="K44" i="2"/>
  <c r="F47" i="1"/>
  <c r="J47" i="1"/>
  <c r="N44" i="2"/>
  <c r="I43" i="1"/>
  <c r="G27" i="1"/>
  <c r="E43" i="1"/>
  <c r="E15" i="1"/>
  <c r="F27" i="1"/>
  <c r="J27" i="1"/>
  <c r="H41" i="1"/>
  <c r="F59" i="1"/>
  <c r="J59" i="1"/>
  <c r="G11" i="1"/>
  <c r="H11" i="1"/>
  <c r="F23" i="2"/>
  <c r="F44" i="2"/>
  <c r="I47" i="1"/>
  <c r="G43" i="1"/>
  <c r="G59" i="1"/>
  <c r="I55" i="1"/>
  <c r="F23" i="1"/>
  <c r="H21" i="1"/>
  <c r="H44" i="2"/>
  <c r="G47" i="1"/>
  <c r="J23" i="2"/>
  <c r="H23" i="2"/>
  <c r="C44" i="2"/>
  <c r="I44" i="2"/>
  <c r="K61" i="1"/>
  <c r="M11" i="1"/>
  <c r="M51" i="1"/>
  <c r="I27" i="1"/>
  <c r="M15" i="1"/>
  <c r="I59" i="1"/>
  <c r="D61" i="1"/>
  <c r="H33" i="1"/>
  <c r="H49" i="1"/>
  <c r="G19" i="1"/>
  <c r="H19" i="1"/>
  <c r="I23" i="1"/>
  <c r="G35" i="1"/>
  <c r="G51" i="1"/>
  <c r="G39" i="1"/>
  <c r="E23" i="2"/>
  <c r="H53" i="1"/>
  <c r="L23" i="2"/>
  <c r="O31" i="2"/>
  <c r="O44" i="2"/>
  <c r="M44" i="2"/>
  <c r="K23" i="2"/>
  <c r="E23" i="1"/>
  <c r="E19" i="1"/>
  <c r="E31" i="1"/>
  <c r="G44" i="2"/>
  <c r="H37" i="1"/>
  <c r="J15" i="1"/>
  <c r="H15" i="1"/>
  <c r="J33" i="1"/>
  <c r="M19" i="1"/>
  <c r="M23" i="1"/>
  <c r="F31" i="1"/>
  <c r="I35" i="1"/>
  <c r="J37" i="1"/>
  <c r="J25" i="1"/>
  <c r="I31" i="1"/>
  <c r="J53" i="1"/>
  <c r="F51" i="1"/>
  <c r="L61" i="1"/>
  <c r="H25" i="1"/>
  <c r="I15" i="1"/>
  <c r="F35" i="1"/>
  <c r="G31" i="1"/>
  <c r="J57" i="1"/>
  <c r="J41" i="1"/>
  <c r="B44" i="2"/>
  <c r="M31" i="1"/>
  <c r="M47" i="1"/>
  <c r="H57" i="1"/>
  <c r="F43" i="1"/>
  <c r="C61" i="1"/>
  <c r="I51" i="1"/>
  <c r="E59" i="1"/>
  <c r="I19" i="1"/>
  <c r="F39" i="1"/>
  <c r="F62" i="4"/>
  <c r="G62" i="4"/>
  <c r="H62" i="4"/>
  <c r="F62" i="5"/>
  <c r="G62" i="5"/>
  <c r="H62" i="5"/>
  <c r="F61" i="3"/>
  <c r="G61" i="3"/>
  <c r="H23" i="1"/>
  <c r="H27" i="1"/>
  <c r="E61" i="1"/>
  <c r="H55" i="1"/>
  <c r="H63" i="1"/>
  <c r="H59" i="1"/>
  <c r="I61" i="1"/>
  <c r="J23" i="1"/>
  <c r="M61" i="1"/>
  <c r="H47" i="1"/>
  <c r="G61" i="1"/>
  <c r="H31" i="1"/>
  <c r="J35" i="1"/>
  <c r="H35" i="1"/>
  <c r="F61" i="1"/>
  <c r="J43" i="1"/>
  <c r="H43" i="1"/>
  <c r="J51" i="1"/>
  <c r="H51" i="1"/>
  <c r="J31" i="1"/>
  <c r="H39" i="1"/>
  <c r="J39" i="1"/>
  <c r="H61" i="1"/>
  <c r="J61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<sst xmlns="http://schemas.openxmlformats.org/spreadsheetml/2006/main" count="241" uniqueCount="79">
  <si>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</si>
  <si>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</si>
  <si>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</si>
  <si>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</si>
  <si>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</si>
  <si>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</si>
  <si>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</si>
  <si>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</si>
  <si>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</si>
  <si>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</si>
  <si>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</si>
  <si>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</si>
  <si>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</si>
  <si>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</si>
  <si>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</si>
  <si>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</si>
  <si>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</si>
  <si>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</si>
  <si>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</si>
  <si>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</si>
  <si>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</si>
  <si>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</si>
  <si>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</si>
  <si>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</si>
  <si>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</si>
  <si>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</si>
  <si>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</si>
  <si>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</si>
  <si>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</si>
  <si>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</si>
  <si>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</si>
  <si>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</si>
  <si>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</si>
  <si>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</si>
  <si>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</si>
  <si>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</si>
  <si>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</si>
  <si>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</si>
  <si>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</si>
  <si>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</si>
  <si>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</si>
  <si>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</si>
  <si>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</si>
  <si>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</si>
  <si>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</si>
  <si>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</si>
  <si>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</si>
  <si>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</si>
  <si>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</si>
  <si>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</si>
  <si>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</si>
  <si>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</si>
  <si>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</si>
  <si>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</si>
  <si>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</si>
  <si>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</si>
  <si>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</si>
  <si>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</si>
  <si>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</si>
  <si>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</si>
  <si>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</si>
  <si>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</si>
  <si>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</si>
  <si>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</si>
  <si>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</si>
  <si>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</si>
  <si>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</si>
  <si>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</si>
  <si>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</si>
  <si>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</si>
  <si>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</si>
  <si>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</si>
  <si>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JULY 31, 2023</t>
  </si>
  <si>
    <t>(as reported on the tax remittal database dtd 8/9/23)</t>
  </si>
  <si>
    <t>FOR THE MONTH ENDED:   JULY 31, 2023</t>
  </si>
  <si>
    <t>THRU MONTH ENDED:   JULY 31, 2023</t>
  </si>
  <si>
    <t>(as reported on the tax remittal database as of 8/9/23)</t>
  </si>
  <si>
    <t>THRU MONTH ENDED:    JULY 31, 2023</t>
  </si>
  <si>
    <t>THRU MONTH ENDED:     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</si>
</sst>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35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>(+C9-D9)/D9</f>
        <v>-8.7050283789798247E-2</v>
      </c>
      <c r="F9" s="21">
        <f>+C9-94713</f>
        <v>104258</v>
      </c>
      <c r="G9" s="21">
        <f>+D9-101378</f>
        <v>116565</v>
      </c>
      <c r="H9" s="23">
        <f>(+F9-G9)/G9</f>
        <v>-0.1055805773602711</v>
      </c>
      <c r="I9" s="24">
        <f>K9/C9</f>
        <v>75.297311065431643</v>
      </c>
      <c r="J9" s="24">
        <f>K9/F9</f>
        <v>143.7010232308312</v>
      </c>
      <c r="K9" s="21">
        <v>14981981.279999999</v>
      </c>
      <c r="L9" s="21">
        <v>15995475.4</v>
      </c>
      <c r="M9" s="25">
        <f>(+K9-L9)/L9</f>
        <v>-6.3361300283704042E-2</v>
      </c>
      <c r="N9" s="10"/>
      <c r="R9" s="2"/>
    </row>
    <row r="10" spans="1:18" ht="15.75" customHeight="1" thickBot="1" x14ac:dyDescent="0.3">
      <c r="A10" s="19"/>
      <c r="B10" s="20"/>
      <c r="C10" s="21"/>
      <c r="D10" s="21"/>
      <c r="E10" s="23"/>
      <c r="F10" s="21"/>
      <c r="G10" s="21"/>
      <c r="H10" s="23"/>
      <c r="I10" s="24"/>
      <c r="J10" s="24"/>
      <c r="K10" s="21"/>
      <c r="L10" s="21"/>
      <c r="M10" s="25"/>
      <c r="N10" s="10"/>
      <c r="R10" s="2"/>
    </row>
    <row r="11" spans="1:18" ht="17.25" thickTop="1" thickBot="1" x14ac:dyDescent="0.3">
      <c r="A11" s="26" t="s">
        <v>14</v>
      </c>
      <c r="B11" s="27"/>
      <c r="C11" s="28">
        <f>SUM(C9:C10)</f>
        <v>198971</v>
      </c>
      <c r="D11" s="28">
        <f>SUM(D9:D10)</f>
        <v>217943</v>
      </c>
      <c r="E11" s="279">
        <f>(+C11-D11)/D11</f>
        <v>-8.7050283789798247E-2</v>
      </c>
      <c r="F11" s="28">
        <f>SUM(F9:F10)</f>
        <v>104258</v>
      </c>
      <c r="G11" s="28">
        <f>SUM(G9:G10)</f>
        <v>116565</v>
      </c>
      <c r="H11" s="30">
        <f>(+F11-G11)/G11</f>
        <v>-0.1055805773602711</v>
      </c>
      <c r="I11" s="31">
        <f>K11/C11</f>
        <v>75.297311065431643</v>
      </c>
      <c r="J11" s="31">
        <f>K11/F11</f>
        <v>143.7010232308312</v>
      </c>
      <c r="K11" s="28">
        <f>SUM(K9:K10)</f>
        <v>14981981.279999999</v>
      </c>
      <c r="L11" s="28">
        <f>SUM(L9:L10)</f>
        <v>15995475.4</v>
      </c>
      <c r="M11" s="32">
        <f>(+K11-L11)/L11</f>
        <v>-6.3361300283704042E-2</v>
      </c>
      <c r="N11" s="10"/>
      <c r="R11" s="2"/>
    </row>
    <row r="12" spans="1:18" ht="15.75" customHeight="1" thickTop="1" x14ac:dyDescent="0.25">
      <c r="A12" s="15"/>
      <c r="B12" s="16"/>
      <c r="C12" s="16"/>
      <c r="D12" s="16"/>
      <c r="E12" s="17"/>
      <c r="F12" s="16"/>
      <c r="G12" s="16"/>
      <c r="H12" s="17"/>
      <c r="I12" s="16"/>
      <c r="J12" s="16"/>
      <c r="K12" s="195"/>
      <c r="L12" s="195"/>
      <c r="M12" s="18"/>
      <c r="N12" s="10"/>
      <c r="R12" s="2"/>
    </row>
    <row r="13" spans="1:18" ht="15.75" x14ac:dyDescent="0.25">
      <c r="A13" s="19" t="s">
        <v>15</v>
      </c>
      <c r="B13" s="20">
        <f>DATE(2023,7,1)</f>
        <v>45108</v>
      </c>
      <c r="C13" s="21">
        <v>114764</v>
      </c>
      <c r="D13" s="21">
        <v>114715</v>
      </c>
      <c r="E13" s="23">
        <f>(+C13-D13)/D13</f>
        <v>4.2714553458571243E-4</v>
      </c>
      <c r="F13" s="21">
        <f>+C13-56037</f>
        <v>58727</v>
      </c>
      <c r="G13" s="21">
        <f>+D13-55568</f>
        <v>59147</v>
      </c>
      <c r="H13" s="23">
        <f>(+F13-G13)/G13</f>
        <v>-7.1009518656905673E-3</v>
      </c>
      <c r="I13" s="24">
        <f>K13/C13</f>
        <v>71.4524525983758</v>
      </c>
      <c r="J13" s="24">
        <f>K13/F13</f>
        <v>139.63201372452193</v>
      </c>
      <c r="K13" s="21">
        <v>8200169.2699999996</v>
      </c>
      <c r="L13" s="21">
        <v>8395754.2100000009</v>
      </c>
      <c r="M13" s="25">
        <f>(+K13-L13)/L13</f>
        <v>-2.3295696265982199E-2</v>
      </c>
      <c r="N13" s="10"/>
      <c r="R13" s="2"/>
    </row>
    <row r="14" spans="1:18" ht="15.75" customHeight="1" thickBot="1" x14ac:dyDescent="0.3">
      <c r="A14" s="19"/>
      <c r="B14" s="20"/>
      <c r="C14" s="21"/>
      <c r="D14" s="21"/>
      <c r="E14" s="23"/>
      <c r="F14" s="21"/>
      <c r="G14" s="21"/>
      <c r="H14" s="23"/>
      <c r="I14" s="24"/>
      <c r="J14" s="24"/>
      <c r="K14" s="21"/>
      <c r="L14" s="21"/>
      <c r="M14" s="25"/>
      <c r="N14" s="10"/>
      <c r="R14" s="2"/>
    </row>
    <row r="15" spans="1:18" ht="17.25" customHeight="1" thickTop="1" thickBot="1" x14ac:dyDescent="0.3">
      <c r="A15" s="26" t="s">
        <v>14</v>
      </c>
      <c r="B15" s="27"/>
      <c r="C15" s="28">
        <f>SUM(C13:C14)</f>
        <v>114764</v>
      </c>
      <c r="D15" s="28">
        <f>SUM(D13:D14)</f>
        <v>114715</v>
      </c>
      <c r="E15" s="279">
        <f>(+C15-D15)/D15</f>
        <v>4.2714553458571243E-4</v>
      </c>
      <c r="F15" s="28">
        <f>SUM(F13:F14)</f>
        <v>58727</v>
      </c>
      <c r="G15" s="28">
        <f>SUM(G13:G14)</f>
        <v>59147</v>
      </c>
      <c r="H15" s="30">
        <f>(+F15-G15)/G15</f>
        <v>-7.1009518656905673E-3</v>
      </c>
      <c r="I15" s="31">
        <f>K15/C15</f>
        <v>71.4524525983758</v>
      </c>
      <c r="J15" s="31">
        <f>K15/F15</f>
        <v>139.63201372452193</v>
      </c>
      <c r="K15" s="28">
        <f>SUM(K13:K14)</f>
        <v>8200169.2699999996</v>
      </c>
      <c r="L15" s="28">
        <f>SUM(L13:L14)</f>
        <v>8395754.2100000009</v>
      </c>
      <c r="M15" s="32">
        <f>(+K15-L15)/L15</f>
        <v>-2.3295696265982199E-2</v>
      </c>
      <c r="N15" s="10"/>
      <c r="R15" s="2"/>
    </row>
    <row r="16" spans="1:18" ht="15.75" customHeight="1" thickTop="1" x14ac:dyDescent="0.25">
      <c r="A16" s="33"/>
      <c r="B16" s="34"/>
      <c r="C16" s="35"/>
      <c r="D16" s="35"/>
      <c r="E16" s="29"/>
      <c r="F16" s="35"/>
      <c r="G16" s="35"/>
      <c r="H16" s="29"/>
      <c r="I16" s="36"/>
      <c r="J16" s="36"/>
      <c r="K16" s="35"/>
      <c r="L16" s="35"/>
      <c r="M16" s="37"/>
      <c r="N16" s="10"/>
      <c r="R16" s="2"/>
    </row>
    <row r="17" spans="1:18" ht="15.75" customHeight="1" x14ac:dyDescent="0.25">
      <c r="A17" s="19" t="s">
        <v>62</v>
      </c>
      <c r="B17" s="20">
        <f>DATE(2023,7,1)</f>
        <v>45108</v>
      </c>
      <c r="C17" s="21">
        <v>62207</v>
      </c>
      <c r="D17" s="21">
        <v>56544</v>
      </c>
      <c r="E17" s="23">
        <f>(+C17-D17)/D17</f>
        <v>0.10015209394453876</v>
      </c>
      <c r="F17" s="21">
        <f>+C17-32355</f>
        <v>29852</v>
      </c>
      <c r="G17" s="21">
        <f>+D17-31773</f>
        <v>24771</v>
      </c>
      <c r="H17" s="23">
        <f>(+F17-G17)/G17</f>
        <v>0.20511888902345485</v>
      </c>
      <c r="I17" s="24">
        <f>K17/C17</f>
        <v>62.61233446396708</v>
      </c>
      <c r="J17" s="24">
        <f>K17/F17</f>
        <v>130.47452398499263</v>
      </c>
      <c r="K17" s="21">
        <v>3894925.49</v>
      </c>
      <c r="L17" s="21">
        <v>3786512.7</v>
      </c>
      <c r="M17" s="25">
        <f>(+K17-L17)/L17</f>
        <v>2.8631302359028145E-2</v>
      </c>
      <c r="N17" s="10"/>
      <c r="R17" s="2"/>
    </row>
    <row r="18" spans="1:18" ht="15.75" customHeight="1" thickBot="1" x14ac:dyDescent="0.25">
      <c r="A18" s="38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customHeight="1" thickTop="1" thickBot="1" x14ac:dyDescent="0.3">
      <c r="A19" s="39" t="s">
        <v>14</v>
      </c>
      <c r="B19" s="40"/>
      <c r="C19" s="41">
        <f>SUM(C17:C18)</f>
        <v>62207</v>
      </c>
      <c r="D19" s="41">
        <f>SUM(D17:D18)</f>
        <v>56544</v>
      </c>
      <c r="E19" s="280">
        <f>(+C19-D19)/D19</f>
        <v>0.10015209394453876</v>
      </c>
      <c r="F19" s="41">
        <f>SUM(F17:F18)</f>
        <v>29852</v>
      </c>
      <c r="G19" s="41">
        <f>SUM(G17:G18)</f>
        <v>24771</v>
      </c>
      <c r="H19" s="42">
        <f>(+F19-G19)/G19</f>
        <v>0.20511888902345485</v>
      </c>
      <c r="I19" s="43">
        <f>K19/C19</f>
        <v>62.61233446396708</v>
      </c>
      <c r="J19" s="43">
        <f>K19/F19</f>
        <v>130.47452398499263</v>
      </c>
      <c r="K19" s="41">
        <f>SUM(K17:K18)</f>
        <v>3894925.49</v>
      </c>
      <c r="L19" s="41">
        <f>SUM(L17:L18)</f>
        <v>3786512.7</v>
      </c>
      <c r="M19" s="44">
        <f>(+K19-L19)/L19</f>
        <v>2.8631302359028145E-2</v>
      </c>
      <c r="N19" s="10"/>
      <c r="R19" s="2"/>
    </row>
    <row r="20" spans="1:18" ht="15.75" customHeight="1" thickTop="1" x14ac:dyDescent="0.2">
      <c r="A20" s="38"/>
      <c r="B20" s="45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5.75" customHeight="1" x14ac:dyDescent="0.25">
      <c r="A21" s="177" t="s">
        <v>58</v>
      </c>
      <c r="B21" s="20">
        <f>DATE(2023,7,1)</f>
        <v>45108</v>
      </c>
      <c r="C21" s="21">
        <v>354464</v>
      </c>
      <c r="D21" s="21">
        <v>327697</v>
      </c>
      <c r="E21" s="23">
        <f>(+C21-D21)/D21</f>
        <v>8.168216370610655E-2</v>
      </c>
      <c r="F21" s="21">
        <f>+C21-176639</f>
        <v>177825</v>
      </c>
      <c r="G21" s="21">
        <f>+D21-165744</f>
        <v>161953</v>
      </c>
      <c r="H21" s="23">
        <f>(+F21-G21)/G21</f>
        <v>9.8003741826332327E-2</v>
      </c>
      <c r="I21" s="24">
        <f>K21/C21</f>
        <v>62.798999559898881</v>
      </c>
      <c r="J21" s="24">
        <f>K21/F21</f>
        <v>125.17916254744833</v>
      </c>
      <c r="K21" s="21">
        <v>22259984.579999998</v>
      </c>
      <c r="L21" s="21">
        <v>21404058.239999998</v>
      </c>
      <c r="M21" s="25">
        <f>(+K21-L21)/L21</f>
        <v>3.9988974539437616E-2</v>
      </c>
      <c r="N21" s="10"/>
      <c r="R21" s="2"/>
    </row>
    <row r="22" spans="1:18" ht="15.75" thickBot="1" x14ac:dyDescent="0.25">
      <c r="A22" s="38"/>
      <c r="B22" s="45"/>
      <c r="C22" s="21"/>
      <c r="D22" s="21"/>
      <c r="E22" s="23"/>
      <c r="F22" s="21"/>
      <c r="G22" s="21"/>
      <c r="H22" s="23"/>
      <c r="I22" s="24"/>
      <c r="J22" s="24"/>
      <c r="K22" s="21"/>
      <c r="L22" s="21"/>
      <c r="M22" s="25"/>
      <c r="N22" s="10"/>
      <c r="R22" s="2"/>
    </row>
    <row r="23" spans="1:18" ht="17.25" thickTop="1" thickBot="1" x14ac:dyDescent="0.3">
      <c r="A23" s="39" t="s">
        <v>14</v>
      </c>
      <c r="B23" s="40"/>
      <c r="C23" s="41">
        <f>SUM(C21:C22)</f>
        <v>354464</v>
      </c>
      <c r="D23" s="41">
        <f>SUM(D21:D22)</f>
        <v>327697</v>
      </c>
      <c r="E23" s="280">
        <f>(+C23-D23)/D23</f>
        <v>8.168216370610655E-2</v>
      </c>
      <c r="F23" s="41">
        <f>SUM(F21:F22)</f>
        <v>177825</v>
      </c>
      <c r="G23" s="41">
        <f>SUM(G21:G22)</f>
        <v>161953</v>
      </c>
      <c r="H23" s="42">
        <f>(+F23-G23)/G23</f>
        <v>9.8003741826332327E-2</v>
      </c>
      <c r="I23" s="43">
        <f>K23/C23</f>
        <v>62.798999559898881</v>
      </c>
      <c r="J23" s="43">
        <f>K23/F23</f>
        <v>125.17916254744833</v>
      </c>
      <c r="K23" s="41">
        <f>SUM(K21:K22)</f>
        <v>22259984.579999998</v>
      </c>
      <c r="L23" s="41">
        <f>SUM(L21:L22)</f>
        <v>21404058.239999998</v>
      </c>
      <c r="M23" s="44">
        <f>(+K23-L23)/L23</f>
        <v>3.9988974539437616E-2</v>
      </c>
      <c r="N23" s="10"/>
      <c r="R23" s="2"/>
    </row>
    <row r="24" spans="1:18" ht="15.75" thickTop="1" x14ac:dyDescent="0.2">
      <c r="A24" s="38"/>
      <c r="B24" s="45"/>
      <c r="C24" s="21"/>
      <c r="D24" s="21"/>
      <c r="E24" s="23"/>
      <c r="F24" s="21"/>
      <c r="G24" s="21"/>
      <c r="H24" s="23"/>
      <c r="I24" s="24"/>
      <c r="J24" s="24"/>
      <c r="K24" s="21"/>
      <c r="L24" s="21"/>
      <c r="M24" s="25"/>
      <c r="N24" s="10"/>
      <c r="R24" s="2"/>
    </row>
    <row r="25" spans="1:18" ht="15.75" x14ac:dyDescent="0.25">
      <c r="A25" s="19" t="s">
        <v>60</v>
      </c>
      <c r="B25" s="20">
        <f>DATE(2023,7,1)</f>
        <v>45108</v>
      </c>
      <c r="C25" s="21">
        <v>199698</v>
      </c>
      <c r="D25" s="21">
        <v>219130</v>
      </c>
      <c r="E25" s="23">
        <f>(+C25-D25)/D25</f>
        <v>-8.8677953726098657E-2</v>
      </c>
      <c r="F25" s="21">
        <f>+C25-94634</f>
        <v>105064</v>
      </c>
      <c r="G25" s="21">
        <f>+D25-103416</f>
        <v>115714</v>
      </c>
      <c r="H25" s="23">
        <f>(+F25-G25)/G25</f>
        <v>-9.2037264289541454E-2</v>
      </c>
      <c r="I25" s="24">
        <f>K25/C25</f>
        <v>76.994882722911598</v>
      </c>
      <c r="J25" s="24">
        <f>K25/F25</f>
        <v>146.34626599025356</v>
      </c>
      <c r="K25" s="21">
        <v>15375724.09</v>
      </c>
      <c r="L25" s="21">
        <v>15073309.060000001</v>
      </c>
      <c r="M25" s="25">
        <f>(+K25-L25)/L25</f>
        <v>2.0062948938167617E-2</v>
      </c>
      <c r="N25" s="10"/>
      <c r="R25" s="2"/>
    </row>
    <row r="26" spans="1:18" ht="15.75" thickBot="1" x14ac:dyDescent="0.25">
      <c r="A26" s="38"/>
      <c r="B26" s="20"/>
      <c r="C26" s="21"/>
      <c r="D26" s="21"/>
      <c r="E26" s="23"/>
      <c r="F26" s="21"/>
      <c r="G26" s="21"/>
      <c r="H26" s="23"/>
      <c r="I26" s="24"/>
      <c r="J26" s="24"/>
      <c r="K26" s="21"/>
      <c r="L26" s="21"/>
      <c r="M26" s="25"/>
      <c r="N26" s="10"/>
      <c r="R26" s="2"/>
    </row>
    <row r="27" spans="1:18" ht="17.25" thickTop="1" thickBot="1" x14ac:dyDescent="0.3">
      <c r="A27" s="39" t="s">
        <v>14</v>
      </c>
      <c r="B27" s="40"/>
      <c r="C27" s="41">
        <f>SUM(C25:C26)</f>
        <v>199698</v>
      </c>
      <c r="D27" s="41">
        <f>SUM(D25:D26)</f>
        <v>219130</v>
      </c>
      <c r="E27" s="281">
        <f>(+C27-D27)/D27</f>
        <v>-8.8677953726098657E-2</v>
      </c>
      <c r="F27" s="47">
        <f>SUM(F25:F26)</f>
        <v>105064</v>
      </c>
      <c r="G27" s="48">
        <f>SUM(G25:G26)</f>
        <v>115714</v>
      </c>
      <c r="H27" s="49">
        <f>(+F27-G27)/G27</f>
        <v>-9.2037264289541454E-2</v>
      </c>
      <c r="I27" s="50">
        <f>K27/C27</f>
        <v>76.994882722911598</v>
      </c>
      <c r="J27" s="51">
        <f>K27/F27</f>
        <v>146.34626599025356</v>
      </c>
      <c r="K27" s="48">
        <f>SUM(K25:K26)</f>
        <v>15375724.09</v>
      </c>
      <c r="L27" s="47">
        <f>SUM(L25:L26)</f>
        <v>15073309.060000001</v>
      </c>
      <c r="M27" s="44">
        <f>(+K27-L27)/L27</f>
        <v>2.0062948938167617E-2</v>
      </c>
      <c r="N27" s="10"/>
      <c r="R27" s="2"/>
    </row>
    <row r="28" spans="1:18" ht="15.75" customHeight="1" thickTop="1" x14ac:dyDescent="0.25">
      <c r="A28" s="273"/>
      <c r="B28" s="45"/>
      <c r="C28" s="21"/>
      <c r="D28" s="21"/>
      <c r="E28" s="23"/>
      <c r="F28" s="21"/>
      <c r="G28" s="21"/>
      <c r="H28" s="23"/>
      <c r="I28" s="24"/>
      <c r="J28" s="24"/>
      <c r="K28" s="21"/>
      <c r="L28" s="21"/>
      <c r="M28" s="25"/>
      <c r="N28" s="10"/>
      <c r="R28" s="2"/>
    </row>
    <row r="29" spans="1:18" ht="15.75" x14ac:dyDescent="0.25">
      <c r="A29" s="274" t="s">
        <v>61</v>
      </c>
      <c r="B29" s="20">
        <f>DATE(2023,7,1)</f>
        <v>45108</v>
      </c>
      <c r="C29" s="21">
        <v>94450</v>
      </c>
      <c r="D29" s="21">
        <v>95268</v>
      </c>
      <c r="E29" s="23">
        <f>(+C29-D29)/D29</f>
        <v>-8.5863039005752186E-3</v>
      </c>
      <c r="F29" s="21">
        <f>+C29-47449</f>
        <v>47001</v>
      </c>
      <c r="G29" s="21">
        <f>+D29-47922</f>
        <v>47346</v>
      </c>
      <c r="H29" s="23">
        <f>(+F29-G29)/G29</f>
        <v>-7.2867824103408944E-3</v>
      </c>
      <c r="I29" s="24">
        <f>K29/C29</f>
        <v>66.529558814187396</v>
      </c>
      <c r="J29" s="24">
        <f>K29/F29</f>
        <v>133.69325822854833</v>
      </c>
      <c r="K29" s="21">
        <v>6283716.8300000001</v>
      </c>
      <c r="L29" s="21">
        <v>6260150.0999999996</v>
      </c>
      <c r="M29" s="25">
        <f>(+K29-L29)/L29</f>
        <v>3.7645630893100228E-3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45" customHeight="1" thickTop="1" thickBot="1" x14ac:dyDescent="0.3">
      <c r="A31" s="39" t="s">
        <v>14</v>
      </c>
      <c r="B31" s="52"/>
      <c r="C31" s="47">
        <f>SUM(C29:C30)</f>
        <v>94450</v>
      </c>
      <c r="D31" s="48">
        <f>SUM(D29:D30)</f>
        <v>95268</v>
      </c>
      <c r="E31" s="281">
        <f>(+C31-D31)/D31</f>
        <v>-8.5863039005752186E-3</v>
      </c>
      <c r="F31" s="48">
        <f>SUM(F29:F30)</f>
        <v>47001</v>
      </c>
      <c r="G31" s="47">
        <f>SUM(G29:G30)</f>
        <v>47346</v>
      </c>
      <c r="H31" s="46">
        <f>(+F31-G31)/G31</f>
        <v>-7.2867824103408944E-3</v>
      </c>
      <c r="I31" s="51">
        <f>K31/C31</f>
        <v>66.529558814187396</v>
      </c>
      <c r="J31" s="50">
        <f>K31/F31</f>
        <v>133.69325822854833</v>
      </c>
      <c r="K31" s="47">
        <f>SUM(K29:K30)</f>
        <v>6283716.8300000001</v>
      </c>
      <c r="L31" s="48">
        <f>SUM(L29:L30)</f>
        <v>6260150.0999999996</v>
      </c>
      <c r="M31" s="44">
        <f>(+K31-L31)/L31</f>
        <v>3.7645630893100228E-3</v>
      </c>
      <c r="N31" s="10"/>
      <c r="R31" s="2"/>
    </row>
    <row r="32" spans="1:18" ht="15.75" customHeight="1" thickTop="1" x14ac:dyDescent="0.25">
      <c r="A32" s="19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x14ac:dyDescent="0.25">
      <c r="A33" s="19" t="s">
        <v>67</v>
      </c>
      <c r="B33" s="20">
        <f>DATE(2023,7,1)</f>
        <v>45108</v>
      </c>
      <c r="C33" s="21">
        <v>219120</v>
      </c>
      <c r="D33" s="21">
        <v>220596</v>
      </c>
      <c r="E33" s="23">
        <f>(+C33-D33)/D33</f>
        <v>-6.6909644780503725E-3</v>
      </c>
      <c r="F33" s="21">
        <f>+C33-104679</f>
        <v>114441</v>
      </c>
      <c r="G33" s="21">
        <f>+D33-105104</f>
        <v>115492</v>
      </c>
      <c r="H33" s="23">
        <f>(+F33-G33)/G33</f>
        <v>-9.1001974162712562E-3</v>
      </c>
      <c r="I33" s="24">
        <f>K33/C33</f>
        <v>49.308570098576126</v>
      </c>
      <c r="J33" s="24">
        <f>K33/F33</f>
        <v>94.411040448790217</v>
      </c>
      <c r="K33" s="21">
        <v>10804493.880000001</v>
      </c>
      <c r="L33" s="21">
        <v>10606782.82</v>
      </c>
      <c r="M33" s="25">
        <f>(+K33-L33)/L33</f>
        <v>1.8640059229571414E-2</v>
      </c>
      <c r="N33" s="10"/>
      <c r="R33" s="2"/>
    </row>
    <row r="34" spans="1:18" ht="15.75" customHeight="1" thickBot="1" x14ac:dyDescent="0.3">
      <c r="A34" s="19"/>
      <c r="B34" s="45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45" customHeight="1" thickTop="1" thickBot="1" x14ac:dyDescent="0.3">
      <c r="A35" s="39" t="s">
        <v>14</v>
      </c>
      <c r="B35" s="52"/>
      <c r="C35" s="47">
        <f>SUM(C33:C34)</f>
        <v>219120</v>
      </c>
      <c r="D35" s="48">
        <f>SUM(D33:D34)</f>
        <v>220596</v>
      </c>
      <c r="E35" s="281">
        <f>(+C35-D35)/D35</f>
        <v>-6.6909644780503725E-3</v>
      </c>
      <c r="F35" s="48">
        <f>SUM(F33:F34)</f>
        <v>114441</v>
      </c>
      <c r="G35" s="47">
        <f>SUM(G33:G34)</f>
        <v>115492</v>
      </c>
      <c r="H35" s="53">
        <f>(+F35-G35)/G35</f>
        <v>-9.1001974162712562E-3</v>
      </c>
      <c r="I35" s="51">
        <f>K35/C35</f>
        <v>49.308570098576126</v>
      </c>
      <c r="J35" s="50">
        <f>K35/F35</f>
        <v>94.411040448790217</v>
      </c>
      <c r="K35" s="47">
        <f>SUM(K33:K34)</f>
        <v>10804493.880000001</v>
      </c>
      <c r="L35" s="48">
        <f>SUM(L33:L34)</f>
        <v>10606782.82</v>
      </c>
      <c r="M35" s="44">
        <f>(+K35-L35)/L35</f>
        <v>1.8640059229571414E-2</v>
      </c>
      <c r="N35" s="10"/>
      <c r="R35" s="2"/>
    </row>
    <row r="36" spans="1:18" ht="15.75" customHeight="1" thickTop="1" x14ac:dyDescent="0.25">
      <c r="A36" s="19"/>
      <c r="B36" s="45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5.75" customHeight="1" x14ac:dyDescent="0.25">
      <c r="A37" s="19" t="s">
        <v>69</v>
      </c>
      <c r="B37" s="20">
        <f>DATE(2023,7,1)</f>
        <v>45108</v>
      </c>
      <c r="C37" s="21">
        <v>227955</v>
      </c>
      <c r="D37" s="21">
        <v>226300</v>
      </c>
      <c r="E37" s="23">
        <f>(+C37-D37)/D37</f>
        <v>7.3133009279717186E-3</v>
      </c>
      <c r="F37" s="21">
        <f>+C37-105186</f>
        <v>122769</v>
      </c>
      <c r="G37" s="21">
        <f>+D37-105791</f>
        <v>120509</v>
      </c>
      <c r="H37" s="23">
        <f>(+F37-G37)/G37</f>
        <v>1.8753786024280343E-2</v>
      </c>
      <c r="I37" s="24">
        <f>K37/C37</f>
        <v>61.567241209887918</v>
      </c>
      <c r="J37" s="24">
        <f>K37/F37</f>
        <v>114.31681018823971</v>
      </c>
      <c r="K37" s="21">
        <v>14034560.470000001</v>
      </c>
      <c r="L37" s="21">
        <v>13168404.74</v>
      </c>
      <c r="M37" s="25">
        <f>(+K37-L37)/L37</f>
        <v>6.5775296788151458E-2</v>
      </c>
      <c r="N37" s="10"/>
      <c r="R37" s="2"/>
    </row>
    <row r="38" spans="1:18" ht="15.75" customHeight="1" thickBot="1" x14ac:dyDescent="0.3">
      <c r="A38" s="19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7.25" thickTop="1" thickBot="1" x14ac:dyDescent="0.3">
      <c r="A39" s="39" t="s">
        <v>14</v>
      </c>
      <c r="B39" s="40"/>
      <c r="C39" s="41">
        <f>SUM(C37:C38)</f>
        <v>227955</v>
      </c>
      <c r="D39" s="41">
        <f>SUM(D37:D38)</f>
        <v>226300</v>
      </c>
      <c r="E39" s="280">
        <f>(+C39-D39)/D39</f>
        <v>7.3133009279717186E-3</v>
      </c>
      <c r="F39" s="41">
        <f>SUM(F37:F38)</f>
        <v>122769</v>
      </c>
      <c r="G39" s="41">
        <f>SUM(G37:G38)</f>
        <v>120509</v>
      </c>
      <c r="H39" s="42">
        <f>(+F39-G39)/G39</f>
        <v>1.8753786024280343E-2</v>
      </c>
      <c r="I39" s="43">
        <f>K39/C39</f>
        <v>61.567241209887918</v>
      </c>
      <c r="J39" s="43">
        <f>K39/F39</f>
        <v>114.31681018823971</v>
      </c>
      <c r="K39" s="41">
        <f>SUM(K37:K38)</f>
        <v>14034560.470000001</v>
      </c>
      <c r="L39" s="41">
        <f>SUM(L37:L38)</f>
        <v>13168404.74</v>
      </c>
      <c r="M39" s="44">
        <f>(+K39-L39)/L39</f>
        <v>6.5775296788151458E-2</v>
      </c>
      <c r="N39" s="10"/>
      <c r="R39" s="2"/>
    </row>
    <row r="40" spans="1:18" ht="15.75" customHeight="1" thickTop="1" x14ac:dyDescent="0.2">
      <c r="A40" s="54"/>
      <c r="B40" s="55"/>
      <c r="C40" s="55"/>
      <c r="D40" s="55"/>
      <c r="E40" s="56"/>
      <c r="F40" s="55"/>
      <c r="G40" s="55"/>
      <c r="H40" s="56"/>
      <c r="I40" s="55"/>
      <c r="J40" s="55"/>
      <c r="K40" s="196"/>
      <c r="L40" s="196"/>
      <c r="M40" s="57"/>
      <c r="N40" s="10"/>
      <c r="R40" s="2"/>
    </row>
    <row r="41" spans="1:18" ht="15.75" customHeight="1" x14ac:dyDescent="0.25">
      <c r="A41" s="19" t="s">
        <v>16</v>
      </c>
      <c r="B41" s="20">
        <f>DATE(2023,7,1)</f>
        <v>45108</v>
      </c>
      <c r="C41" s="21">
        <v>262088</v>
      </c>
      <c r="D41" s="21">
        <v>271337</v>
      </c>
      <c r="E41" s="23">
        <f>(+C41-D41)/D41</f>
        <v>-3.4086762955291762E-2</v>
      </c>
      <c r="F41" s="21">
        <f>+C41-132418</f>
        <v>129670</v>
      </c>
      <c r="G41" s="21">
        <f>+D41-134570</f>
        <v>136767</v>
      </c>
      <c r="H41" s="23">
        <f>(+F41-G41)/G41</f>
        <v>-5.1891172578180406E-2</v>
      </c>
      <c r="I41" s="24">
        <f>K41/C41</f>
        <v>67.305416539482934</v>
      </c>
      <c r="J41" s="24">
        <f>K41/F41</f>
        <v>136.03718678183083</v>
      </c>
      <c r="K41" s="21">
        <v>17639942.010000002</v>
      </c>
      <c r="L41" s="21">
        <v>18204043.98</v>
      </c>
      <c r="M41" s="25">
        <f>(+K41-L41)/L41</f>
        <v>-3.0987728365178272E-2</v>
      </c>
      <c r="N41" s="10"/>
      <c r="R41" s="2"/>
    </row>
    <row r="42" spans="1:18" ht="15.75" customHeight="1" thickBot="1" x14ac:dyDescent="0.3">
      <c r="A42" s="19"/>
      <c r="B42" s="45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25" thickTop="1" thickBot="1" x14ac:dyDescent="0.3">
      <c r="A43" s="39" t="s">
        <v>14</v>
      </c>
      <c r="B43" s="40"/>
      <c r="C43" s="41">
        <f>SUM(C41:C42)</f>
        <v>262088</v>
      </c>
      <c r="D43" s="41">
        <f>SUM(D41:D42)</f>
        <v>271337</v>
      </c>
      <c r="E43" s="280">
        <f>(+C43-D43)/D43</f>
        <v>-3.4086762955291762E-2</v>
      </c>
      <c r="F43" s="41">
        <f>SUM(F41:F42)</f>
        <v>129670</v>
      </c>
      <c r="G43" s="41">
        <f>SUM(G41:G42)</f>
        <v>136767</v>
      </c>
      <c r="H43" s="42">
        <f>(+F43-G43)/G43</f>
        <v>-5.1891172578180406E-2</v>
      </c>
      <c r="I43" s="43">
        <f>K43/C43</f>
        <v>67.305416539482934</v>
      </c>
      <c r="J43" s="43">
        <f>K43/F43</f>
        <v>136.03718678183083</v>
      </c>
      <c r="K43" s="41">
        <f>SUM(K41:K42)</f>
        <v>17639942.010000002</v>
      </c>
      <c r="L43" s="41">
        <f>SUM(L41:L42)</f>
        <v>18204043.98</v>
      </c>
      <c r="M43" s="44">
        <f>(+K43-L43)/L43</f>
        <v>-3.0987728365178272E-2</v>
      </c>
      <c r="N43" s="10"/>
      <c r="R43" s="2"/>
    </row>
    <row r="44" spans="1:18" ht="15.75" customHeight="1" thickTop="1" x14ac:dyDescent="0.2">
      <c r="A44" s="54"/>
      <c r="B44" s="55"/>
      <c r="C44" s="55"/>
      <c r="D44" s="55"/>
      <c r="E44" s="56"/>
      <c r="F44" s="55"/>
      <c r="G44" s="55"/>
      <c r="H44" s="56"/>
      <c r="I44" s="55"/>
      <c r="J44" s="55"/>
      <c r="K44" s="196"/>
      <c r="L44" s="196"/>
      <c r="M44" s="57"/>
      <c r="N44" s="10"/>
      <c r="R44" s="2"/>
    </row>
    <row r="45" spans="1:18" ht="15.75" customHeight="1" x14ac:dyDescent="0.25">
      <c r="A45" s="19" t="s">
        <v>53</v>
      </c>
      <c r="B45" s="20">
        <f>DATE(2023,7,1)</f>
        <v>45108</v>
      </c>
      <c r="C45" s="21">
        <v>372664</v>
      </c>
      <c r="D45" s="21">
        <v>358906</v>
      </c>
      <c r="E45" s="23">
        <f>(+C45-D45)/D45</f>
        <v>3.8333156871158465E-2</v>
      </c>
      <c r="F45" s="21">
        <f>+C45-175639</f>
        <v>197025</v>
      </c>
      <c r="G45" s="21">
        <f>+D45-172463</f>
        <v>186443</v>
      </c>
      <c r="H45" s="23">
        <f>(+F45-G45)/G45</f>
        <v>5.6757293113713039E-2</v>
      </c>
      <c r="I45" s="24">
        <f>K45/C45</f>
        <v>59.665630729021316</v>
      </c>
      <c r="J45" s="24">
        <f>K45/F45</f>
        <v>112.85487938078924</v>
      </c>
      <c r="K45" s="21">
        <v>22235232.609999999</v>
      </c>
      <c r="L45" s="21">
        <v>22397002.989999998</v>
      </c>
      <c r="M45" s="25">
        <f>(+K45-L45)/L45</f>
        <v>-7.2228583472631388E-3</v>
      </c>
      <c r="N45" s="10"/>
      <c r="R45" s="2"/>
    </row>
    <row r="46" spans="1:18" ht="15.75" customHeight="1" thickBot="1" x14ac:dyDescent="0.3">
      <c r="A46" s="19"/>
      <c r="B46" s="45"/>
      <c r="C46" s="21"/>
      <c r="D46" s="21"/>
      <c r="E46" s="23"/>
      <c r="F46" s="21"/>
      <c r="G46" s="21"/>
      <c r="H46" s="23"/>
      <c r="I46" s="24"/>
      <c r="J46" s="24"/>
      <c r="K46" s="21"/>
      <c r="L46" s="21"/>
      <c r="M46" s="25"/>
      <c r="N46" s="10"/>
      <c r="R46" s="2"/>
    </row>
    <row r="47" spans="1:18" ht="17.25" thickTop="1" thickBot="1" x14ac:dyDescent="0.3">
      <c r="A47" s="39" t="s">
        <v>14</v>
      </c>
      <c r="B47" s="40"/>
      <c r="C47" s="41">
        <f>SUM(C45:C46)</f>
        <v>372664</v>
      </c>
      <c r="D47" s="41">
        <f>SUM(D45:D46)</f>
        <v>358906</v>
      </c>
      <c r="E47" s="280">
        <f>(+C47-D47)/D47</f>
        <v>3.8333156871158465E-2</v>
      </c>
      <c r="F47" s="41">
        <f>SUM(F45:F46)</f>
        <v>197025</v>
      </c>
      <c r="G47" s="41">
        <f>SUM(G45:G46)</f>
        <v>186443</v>
      </c>
      <c r="H47" s="42">
        <f>(+F47-G47)/G47</f>
        <v>5.6757293113713039E-2</v>
      </c>
      <c r="I47" s="43">
        <f>K47/C47</f>
        <v>59.665630729021316</v>
      </c>
      <c r="J47" s="43">
        <f>K47/F47</f>
        <v>112.85487938078924</v>
      </c>
      <c r="K47" s="41">
        <f>SUM(K45:K46)</f>
        <v>22235232.609999999</v>
      </c>
      <c r="L47" s="41">
        <f>SUM(L45:L46)</f>
        <v>22397002.989999998</v>
      </c>
      <c r="M47" s="44">
        <f>(+K47-L47)/L47</f>
        <v>-7.2228583472631388E-3</v>
      </c>
      <c r="N47" s="10"/>
      <c r="R47" s="2"/>
    </row>
    <row r="48" spans="1:18" ht="15.75" customHeight="1" thickTop="1" x14ac:dyDescent="0.2">
      <c r="A48" s="58"/>
      <c r="B48" s="59"/>
      <c r="C48" s="59"/>
      <c r="D48" s="59"/>
      <c r="E48" s="60"/>
      <c r="F48" s="59"/>
      <c r="G48" s="59"/>
      <c r="H48" s="60"/>
      <c r="I48" s="59"/>
      <c r="J48" s="59"/>
      <c r="K48" s="197"/>
      <c r="L48" s="197"/>
      <c r="M48" s="61"/>
      <c r="N48" s="10"/>
      <c r="R48" s="2"/>
    </row>
    <row r="49" spans="1:18" ht="15" customHeight="1" x14ac:dyDescent="0.25">
      <c r="A49" s="19" t="s">
        <v>54</v>
      </c>
      <c r="B49" s="20">
        <f>DATE(2023,7,1)</f>
        <v>45108</v>
      </c>
      <c r="C49" s="21">
        <v>43122</v>
      </c>
      <c r="D49" s="21">
        <v>45743</v>
      </c>
      <c r="E49" s="23">
        <f>(+C49-D49)/D49</f>
        <v>-5.729838445226592E-2</v>
      </c>
      <c r="F49" s="21">
        <f>+C49-21874</f>
        <v>21248</v>
      </c>
      <c r="G49" s="21">
        <f>+D49-23748</f>
        <v>21995</v>
      </c>
      <c r="H49" s="23">
        <f>(+F49-G49)/G49</f>
        <v>-3.3962264150943396E-2</v>
      </c>
      <c r="I49" s="24">
        <f>K49/C49</f>
        <v>73.706668985668571</v>
      </c>
      <c r="J49" s="24">
        <f>K49/F49</f>
        <v>149.58485410391566</v>
      </c>
      <c r="K49" s="21">
        <v>3178378.98</v>
      </c>
      <c r="L49" s="21">
        <v>3253812.68</v>
      </c>
      <c r="M49" s="25">
        <f>(+K49-L49)/L49</f>
        <v>-2.3183172302346608E-2</v>
      </c>
      <c r="N49" s="10"/>
      <c r="R49" s="2"/>
    </row>
    <row r="50" spans="1:18" ht="15.75" thickBot="1" x14ac:dyDescent="0.25">
      <c r="A50" s="38"/>
      <c r="B50" s="20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7.25" thickTop="1" thickBot="1" x14ac:dyDescent="0.3">
      <c r="A51" s="62" t="s">
        <v>14</v>
      </c>
      <c r="B51" s="52"/>
      <c r="C51" s="48">
        <f>SUM(C49:C50)</f>
        <v>43122</v>
      </c>
      <c r="D51" s="48">
        <f>SUM(D49:D50)</f>
        <v>45743</v>
      </c>
      <c r="E51" s="280">
        <f>(+C51-D51)/D51</f>
        <v>-5.729838445226592E-2</v>
      </c>
      <c r="F51" s="48">
        <f>SUM(F49:F50)</f>
        <v>21248</v>
      </c>
      <c r="G51" s="48">
        <f>SUM(G49:G50)</f>
        <v>21995</v>
      </c>
      <c r="H51" s="42">
        <f>(+F51-G51)/G51</f>
        <v>-3.3962264150943396E-2</v>
      </c>
      <c r="I51" s="50">
        <f>K51/C51</f>
        <v>73.706668985668571</v>
      </c>
      <c r="J51" s="50">
        <f>K51/F51</f>
        <v>149.58485410391566</v>
      </c>
      <c r="K51" s="48">
        <f>SUM(K49:K50)</f>
        <v>3178378.98</v>
      </c>
      <c r="L51" s="48">
        <f>SUM(L49:L50)</f>
        <v>3253812.68</v>
      </c>
      <c r="M51" s="44">
        <f>(+K51-L51)/L51</f>
        <v>-2.3183172302346608E-2</v>
      </c>
      <c r="N51" s="10"/>
      <c r="R51" s="2"/>
    </row>
    <row r="52" spans="1:18" ht="15.75" customHeight="1" thickTop="1" x14ac:dyDescent="0.25">
      <c r="A52" s="19"/>
      <c r="B52" s="45"/>
      <c r="C52" s="21"/>
      <c r="D52" s="21"/>
      <c r="E52" s="23"/>
      <c r="F52" s="21"/>
      <c r="G52" s="21"/>
      <c r="H52" s="23"/>
      <c r="I52" s="24"/>
      <c r="J52" s="24"/>
      <c r="K52" s="21"/>
      <c r="L52" s="21"/>
      <c r="M52" s="25"/>
      <c r="N52" s="10"/>
      <c r="R52" s="2"/>
    </row>
    <row r="53" spans="1:18" ht="15.75" x14ac:dyDescent="0.25">
      <c r="A53" s="19" t="s">
        <v>17</v>
      </c>
      <c r="B53" s="20">
        <f>DATE(2023,7,1)</f>
        <v>45108</v>
      </c>
      <c r="C53" s="21">
        <v>341358</v>
      </c>
      <c r="D53" s="21">
        <v>376535</v>
      </c>
      <c r="E53" s="23">
        <f>(+C53-D53)/D53</f>
        <v>-9.3422922171909645E-2</v>
      </c>
      <c r="F53" s="21">
        <f>+C53-174275</f>
        <v>167083</v>
      </c>
      <c r="G53" s="21">
        <f>+D53-192471</f>
        <v>184064</v>
      </c>
      <c r="H53" s="23">
        <f>(+F53-G53)/G53</f>
        <v>-9.2255954450625871E-2</v>
      </c>
      <c r="I53" s="24">
        <f>K53/C53</f>
        <v>75.200809091921087</v>
      </c>
      <c r="J53" s="24">
        <f>K53/F53</f>
        <v>153.63859752338658</v>
      </c>
      <c r="K53" s="21">
        <v>25670397.789999999</v>
      </c>
      <c r="L53" s="21">
        <v>26699268.829999998</v>
      </c>
      <c r="M53" s="25">
        <f>(+K53-L53)/L53</f>
        <v>-3.8535551162507217E-2</v>
      </c>
      <c r="N53" s="10"/>
      <c r="R53" s="2"/>
    </row>
    <row r="54" spans="1:18" ht="15.75" thickBot="1" x14ac:dyDescent="0.25">
      <c r="A54" s="38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SUM(C53:C54)</f>
        <v>341358</v>
      </c>
      <c r="D55" s="41">
        <f>SUM(D53:D54)</f>
        <v>376535</v>
      </c>
      <c r="E55" s="280">
        <f>(+C55-D55)/D55</f>
        <v>-9.3422922171909645E-2</v>
      </c>
      <c r="F55" s="41">
        <f>SUM(F53:F54)</f>
        <v>167083</v>
      </c>
      <c r="G55" s="41">
        <f>SUM(G53:G54)</f>
        <v>184064</v>
      </c>
      <c r="H55" s="42">
        <f>(+F55-G55)/G55</f>
        <v>-9.2255954450625871E-2</v>
      </c>
      <c r="I55" s="43">
        <f>K55/C55</f>
        <v>75.200809091921087</v>
      </c>
      <c r="J55" s="43">
        <f>K55/F55</f>
        <v>153.63859752338658</v>
      </c>
      <c r="K55" s="41">
        <f>SUM(K53:K54)</f>
        <v>25670397.789999999</v>
      </c>
      <c r="L55" s="41">
        <f>SUM(L53:L54)</f>
        <v>26699268.829999998</v>
      </c>
      <c r="M55" s="44">
        <f>(+K55-L55)/L55</f>
        <v>-3.8535551162507217E-2</v>
      </c>
      <c r="N55" s="10"/>
      <c r="R55" s="2"/>
    </row>
    <row r="56" spans="1:18" ht="15.75" customHeight="1" thickTop="1" x14ac:dyDescent="0.25">
      <c r="A56" s="19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56</v>
      </c>
      <c r="B57" s="20">
        <f>DATE(2023,7,1)</f>
        <v>45108</v>
      </c>
      <c r="C57" s="21">
        <v>66323</v>
      </c>
      <c r="D57" s="21">
        <v>68778</v>
      </c>
      <c r="E57" s="23">
        <f>(+C57-D57)/D57</f>
        <v>-3.5694553490941874E-2</v>
      </c>
      <c r="F57" s="21">
        <f>+C57-28441</f>
        <v>37882</v>
      </c>
      <c r="G57" s="21">
        <f>+D57-29763</f>
        <v>39015</v>
      </c>
      <c r="H57" s="23">
        <f>(+F57-G57)/G57</f>
        <v>-2.9040112777136997E-2</v>
      </c>
      <c r="I57" s="24">
        <f>K57/C57</f>
        <v>58.975659575109688</v>
      </c>
      <c r="J57" s="24">
        <f>K57/F57</f>
        <v>103.25333060556464</v>
      </c>
      <c r="K57" s="21">
        <v>3911442.67</v>
      </c>
      <c r="L57" s="21">
        <v>4137931.7</v>
      </c>
      <c r="M57" s="25">
        <f>(+K57-L57)/L57</f>
        <v>-5.4734840113479941E-2</v>
      </c>
      <c r="N57" s="10"/>
      <c r="R57" s="2"/>
    </row>
    <row r="58" spans="1:18" ht="15.75" thickBot="1" x14ac:dyDescent="0.25">
      <c r="A58" s="38"/>
      <c r="B58" s="45"/>
      <c r="C58" s="21"/>
      <c r="D58" s="21"/>
      <c r="E58" s="23"/>
      <c r="F58" s="21"/>
      <c r="G58" s="21"/>
      <c r="H58" s="23"/>
      <c r="I58" s="24"/>
      <c r="J58" s="24"/>
      <c r="K58" s="21"/>
      <c r="L58" s="21"/>
      <c r="M58" s="25"/>
      <c r="N58" s="10"/>
      <c r="R58" s="2"/>
    </row>
    <row r="59" spans="1:18" ht="17.25" thickTop="1" thickBot="1" x14ac:dyDescent="0.3">
      <c r="A59" s="26" t="s">
        <v>14</v>
      </c>
      <c r="B59" s="27"/>
      <c r="C59" s="28">
        <f>SUM(C57:C58)</f>
        <v>66323</v>
      </c>
      <c r="D59" s="28">
        <f>SUM(D57:D58)</f>
        <v>68778</v>
      </c>
      <c r="E59" s="280">
        <f>(+C59-D59)/D59</f>
        <v>-3.5694553490941874E-2</v>
      </c>
      <c r="F59" s="28">
        <f>SUM(F57:F58)</f>
        <v>37882</v>
      </c>
      <c r="G59" s="28">
        <f>SUM(G57:G58)</f>
        <v>39015</v>
      </c>
      <c r="H59" s="42">
        <f>(+F59-G59)/G59</f>
        <v>-2.9040112777136997E-2</v>
      </c>
      <c r="I59" s="43">
        <f>K59/C59</f>
        <v>58.975659575109688</v>
      </c>
      <c r="J59" s="43">
        <f>K59/F59</f>
        <v>103.25333060556464</v>
      </c>
      <c r="K59" s="28">
        <f>SUM(K57:K58)</f>
        <v>3911442.67</v>
      </c>
      <c r="L59" s="28">
        <f>SUM(L57:L58)</f>
        <v>4137931.7</v>
      </c>
      <c r="M59" s="44">
        <f>(+K59-L59)/L59</f>
        <v>-5.4734840113479941E-2</v>
      </c>
      <c r="N59" s="10"/>
      <c r="R59" s="2"/>
    </row>
    <row r="60" spans="1:18" ht="16.5" thickTop="1" thickBot="1" x14ac:dyDescent="0.25">
      <c r="A60" s="63"/>
      <c r="B60" s="34"/>
      <c r="C60" s="35"/>
      <c r="D60" s="35"/>
      <c r="E60" s="29"/>
      <c r="F60" s="35"/>
      <c r="G60" s="35"/>
      <c r="H60" s="29"/>
      <c r="I60" s="36"/>
      <c r="J60" s="36"/>
      <c r="K60" s="35"/>
      <c r="L60" s="35"/>
      <c r="M60" s="37"/>
      <c r="N60" s="10"/>
      <c r="R60" s="2"/>
    </row>
    <row r="61" spans="1:18" ht="17.25" thickTop="1" thickBot="1" x14ac:dyDescent="0.3">
      <c r="A61" s="64" t="s">
        <v>18</v>
      </c>
      <c r="B61" s="65"/>
      <c r="C61" s="28">
        <f>C59+C55+C27+C35+C39+C19+C11+C43+C47+C23+C51+C15+C31</f>
        <v>2557184</v>
      </c>
      <c r="D61" s="28">
        <f>D59+D55+D27+D35+D39+D19+D11+D43+D47+D23+D51+D15+D31</f>
        <v>2599492</v>
      </c>
      <c r="E61" s="279">
        <f>(+C61-D61)/D61</f>
        <v>-1.6275487672206723E-2</v>
      </c>
      <c r="F61" s="28">
        <f>F59+F55+F27+F35+F39+F19+F11+F43+F47+F23+F51+F15+F31</f>
        <v>1312845</v>
      </c>
      <c r="G61" s="28">
        <f>G59+G55+G27+G35+G39+G19+G11+G43+G47+G23+G51+G15+G31</f>
        <v>1329781</v>
      </c>
      <c r="H61" s="30">
        <f>(+F61-G61)/G61</f>
        <v>-1.2735931706047837E-2</v>
      </c>
      <c r="I61" s="31">
        <f>K61/C61</f>
        <v>65.881434402061018</v>
      </c>
      <c r="J61" s="31">
        <f>K61/F61</f>
        <v>128.32508784357637</v>
      </c>
      <c r="K61" s="28">
        <f>K59+K55+K27+K35+K39+K19+K11+K43+K47+K23+K51+K15+K31</f>
        <v>168470949.95000002</v>
      </c>
      <c r="L61" s="28">
        <f>L59+L55+L27+L35+L39+L19+L11+L43+L47+L23+L51+L15+L31</f>
        <v>169382507.45000002</v>
      </c>
      <c r="M61" s="32">
        <f>(+K61-L61)/L61</f>
        <v>-5.3816507603011042E-3</v>
      </c>
      <c r="N61" s="10"/>
      <c r="R61" s="2"/>
    </row>
    <row r="62" spans="1:18" ht="17.25" thickTop="1" thickBot="1" x14ac:dyDescent="0.3">
      <c r="A62" s="64"/>
      <c r="B62" s="65"/>
      <c r="C62" s="28"/>
      <c r="D62" s="28"/>
      <c r="E62" s="29"/>
      <c r="F62" s="28"/>
      <c r="G62" s="28"/>
      <c r="H62" s="30"/>
      <c r="I62" s="31"/>
      <c r="J62" s="31"/>
      <c r="K62" s="28"/>
      <c r="L62" s="28"/>
      <c r="M62" s="32"/>
      <c r="N62" s="10"/>
      <c r="R62" s="2"/>
    </row>
    <row r="63" spans="1:18" ht="17.25" thickTop="1" thickBot="1" x14ac:dyDescent="0.3">
      <c r="A63" s="64" t="s">
        <v>19</v>
      </c>
      <c r="B63" s="65"/>
      <c r="C63" s="28">
        <f>+C9+C13+C17+C21+C25+C29+C33+C37+C41+C45+C49+C53+C57</f>
        <v>2557184</v>
      </c>
      <c r="D63" s="28">
        <f>+D9+D13+D17+D21+D25+D29+D33+D37+D41+D45+D49+D53+D57</f>
        <v>2599492</v>
      </c>
      <c r="E63" s="279">
        <f>(+C63-D63)/D63</f>
        <v>-1.6275487672206723E-2</v>
      </c>
      <c r="F63" s="28">
        <f>+F9+F13+F17+F21+F25+F29+F33+F37+F41+F45+F49+F53+F57</f>
        <v>1312845</v>
      </c>
      <c r="G63" s="28">
        <f>+G9+G13+G17+G21+G25+G29+G33+G37+G41+G45+G49+G53+G57</f>
        <v>1329781</v>
      </c>
      <c r="H63" s="30">
        <f>(+F63-G63)/G63</f>
        <v>-1.2735931706047837E-2</v>
      </c>
      <c r="I63" s="291">
        <f>K63/C63</f>
        <v>65.881434402061004</v>
      </c>
      <c r="J63" s="31">
        <f>K63/F63</f>
        <v>128.32508784357631</v>
      </c>
      <c r="K63" s="28">
        <f>+K9+K13+K17+K21+K25+K29+K33+K37+K41+K45+K49+K53+K57</f>
        <v>168470949.94999996</v>
      </c>
      <c r="L63" s="28">
        <f>+L9+L13+L17+L21+L25+L29+L33+L37+L41+L45+L49+L53+L57</f>
        <v>169382507.44999999</v>
      </c>
      <c r="M63" s="32">
        <f>(+K63-L63)/L63</f>
        <v>-5.3816507603012811E-3</v>
      </c>
      <c r="N63" s="10"/>
      <c r="R63" s="2"/>
    </row>
    <row r="64" spans="1:18" ht="15.75" thickTop="1" x14ac:dyDescent="0.2">
      <c r="A64" s="66"/>
      <c r="B64" s="67"/>
      <c r="C64" s="68"/>
      <c r="D64" s="67"/>
      <c r="E64" s="67"/>
      <c r="F64" s="67"/>
      <c r="G64" s="67"/>
      <c r="H64" s="67"/>
      <c r="I64" s="67"/>
      <c r="J64" s="67"/>
      <c r="K64" s="68"/>
      <c r="L64" s="68"/>
      <c r="M64" s="67"/>
      <c r="R64" s="2"/>
    </row>
    <row r="65" spans="1:18" ht="18.75" x14ac:dyDescent="0.3">
      <c r="A65" s="264" t="s">
        <v>20</v>
      </c>
      <c r="B65" s="70"/>
      <c r="C65" s="71"/>
      <c r="D65" s="71"/>
      <c r="E65" s="71"/>
      <c r="F65" s="71"/>
      <c r="G65" s="71"/>
      <c r="H65" s="71"/>
      <c r="I65" s="71"/>
      <c r="J65" s="71"/>
      <c r="K65" s="198"/>
      <c r="L65" s="198"/>
      <c r="M65" s="71"/>
      <c r="N65" s="2"/>
      <c r="O65" s="2"/>
      <c r="P65" s="2"/>
      <c r="Q65" s="2"/>
      <c r="R65" s="2"/>
    </row>
    <row r="66" spans="1:18" ht="18" x14ac:dyDescent="0.25">
      <c r="A66" s="69"/>
      <c r="B66" s="70"/>
      <c r="C66" s="71"/>
      <c r="D66" s="71"/>
      <c r="E66" s="71"/>
      <c r="F66" s="71"/>
      <c r="G66" s="71"/>
      <c r="H66" s="71"/>
      <c r="I66" s="71"/>
      <c r="J66" s="71"/>
      <c r="K66" s="198"/>
      <c r="L66" s="198"/>
      <c r="M66" s="71"/>
      <c r="N66" s="2"/>
      <c r="O66" s="2"/>
      <c r="P66" s="2"/>
      <c r="Q66" s="2"/>
      <c r="R66" s="2"/>
    </row>
    <row r="67" spans="1:18" ht="15.75" x14ac:dyDescent="0.25">
      <c r="A67" s="72"/>
      <c r="B67" s="73"/>
      <c r="C67" s="74"/>
      <c r="D67" s="74"/>
      <c r="E67" s="74"/>
      <c r="F67" s="74"/>
      <c r="G67" s="74"/>
      <c r="H67" s="74"/>
      <c r="I67" s="74"/>
      <c r="J67" s="74"/>
      <c r="K67" s="192"/>
      <c r="L67" s="192"/>
      <c r="M67" s="75"/>
      <c r="N67" s="2"/>
      <c r="O67" s="2"/>
      <c r="P67" s="2"/>
      <c r="Q67" s="2"/>
      <c r="R67" s="2"/>
    </row>
    <row r="68" spans="1:18" x14ac:dyDescent="0.2">
      <c r="A68" s="2"/>
      <c r="B68" s="73"/>
      <c r="C68" s="74"/>
      <c r="D68" s="74"/>
      <c r="E68" s="74"/>
      <c r="F68" s="74"/>
      <c r="G68" s="74"/>
      <c r="H68" s="74"/>
      <c r="I68" s="74"/>
      <c r="J68" s="74"/>
      <c r="K68" s="192"/>
      <c r="L68" s="192"/>
      <c r="M68" s="75"/>
      <c r="N68" s="2"/>
      <c r="O68" s="2"/>
      <c r="P68" s="2"/>
      <c r="Q68" s="2"/>
      <c r="R68" s="2"/>
    </row>
    <row r="69" spans="1:18" x14ac:dyDescent="0.2">
      <c r="A69" s="2"/>
      <c r="B69" s="73"/>
      <c r="C69" s="74"/>
      <c r="D69" s="74"/>
      <c r="E69" s="74"/>
      <c r="F69" s="74"/>
      <c r="G69" s="74"/>
      <c r="H69" s="74"/>
      <c r="I69" s="74"/>
      <c r="J69" s="74"/>
      <c r="K69" s="192"/>
      <c r="L69" s="192"/>
      <c r="M69" s="75"/>
      <c r="N69" s="2"/>
      <c r="O69" s="2"/>
      <c r="P69" s="2"/>
      <c r="Q69" s="2"/>
      <c r="R69" s="2"/>
    </row>
    <row r="70" spans="1:18" x14ac:dyDescent="0.2">
      <c r="A70" s="2"/>
      <c r="B70" s="73"/>
      <c r="C70" s="74"/>
      <c r="D70" s="74"/>
      <c r="E70" s="74"/>
      <c r="F70" s="74"/>
      <c r="G70" s="74"/>
      <c r="H70" s="74"/>
      <c r="I70" s="74"/>
      <c r="J70" s="74"/>
      <c r="K70" s="192"/>
      <c r="L70" s="192"/>
      <c r="M70" s="75"/>
      <c r="N70" s="2"/>
      <c r="O70" s="2"/>
      <c r="P70" s="2"/>
      <c r="Q70" s="2"/>
      <c r="R70" s="2"/>
    </row>
    <row r="71" spans="1:18" x14ac:dyDescent="0.2">
      <c r="A71" s="2"/>
      <c r="B71" s="73"/>
      <c r="C71" s="74"/>
      <c r="D71" s="74"/>
      <c r="E71" s="74"/>
      <c r="F71" s="74"/>
      <c r="G71" s="74"/>
      <c r="H71" s="74"/>
      <c r="I71" s="74"/>
      <c r="J71" s="74"/>
      <c r="K71" s="192"/>
      <c r="L71" s="192"/>
      <c r="M71" s="75"/>
      <c r="N71" s="2"/>
      <c r="O71" s="2"/>
      <c r="P71" s="2"/>
      <c r="Q71" s="2"/>
      <c r="R71" s="2"/>
    </row>
    <row r="72" spans="1:18" x14ac:dyDescent="0.2">
      <c r="A72" s="2"/>
      <c r="B72" s="73"/>
      <c r="C72" s="74"/>
      <c r="D72" s="74"/>
      <c r="E72" s="74"/>
      <c r="F72" s="74"/>
      <c r="G72" s="74"/>
      <c r="H72" s="74"/>
      <c r="I72" s="74"/>
      <c r="J72" s="74"/>
      <c r="K72" s="192"/>
      <c r="L72" s="192"/>
      <c r="M72" s="75"/>
      <c r="N72" s="2"/>
      <c r="O72" s="2"/>
      <c r="P72" s="2"/>
      <c r="Q72" s="2"/>
      <c r="R72" s="2"/>
    </row>
    <row r="73" spans="1:18" x14ac:dyDescent="0.2">
      <c r="A73" s="2"/>
      <c r="B73" s="73"/>
      <c r="C73" s="74"/>
      <c r="D73" s="74"/>
      <c r="E73" s="74"/>
      <c r="F73" s="74"/>
      <c r="G73" s="74"/>
      <c r="H73" s="74"/>
      <c r="I73" s="74"/>
      <c r="J73" s="74"/>
      <c r="K73" s="192"/>
      <c r="L73" s="192"/>
      <c r="M73" s="75"/>
      <c r="N73" s="2"/>
      <c r="O73" s="2"/>
      <c r="P73" s="2"/>
      <c r="Q73" s="2"/>
      <c r="R73" s="2"/>
    </row>
    <row r="74" spans="1:18" x14ac:dyDescent="0.2">
      <c r="A74" s="2"/>
      <c r="B74" s="73"/>
      <c r="C74" s="74"/>
      <c r="D74" s="74"/>
      <c r="E74" s="74"/>
      <c r="F74" s="74"/>
      <c r="G74" s="74"/>
      <c r="H74" s="74"/>
      <c r="I74" s="74"/>
      <c r="J74" s="74"/>
      <c r="K74" s="192"/>
      <c r="L74" s="192"/>
      <c r="M74" s="75"/>
      <c r="N74" s="2"/>
      <c r="O74" s="2"/>
      <c r="P74" s="2"/>
      <c r="Q74" s="2"/>
      <c r="R74" s="2"/>
    </row>
    <row r="75" spans="1:18" x14ac:dyDescent="0.2">
      <c r="A75" s="2"/>
      <c r="B75" s="73"/>
      <c r="C75" s="74"/>
      <c r="D75" s="74"/>
      <c r="E75" s="74"/>
      <c r="F75" s="74"/>
      <c r="G75" s="74"/>
      <c r="H75" s="74"/>
      <c r="I75" s="74"/>
      <c r="J75" s="74"/>
      <c r="K75" s="192"/>
      <c r="L75" s="192"/>
      <c r="M75" s="75"/>
      <c r="N75" s="2"/>
      <c r="O75" s="2"/>
      <c r="P75" s="2"/>
      <c r="Q75" s="2"/>
      <c r="R75" s="2"/>
    </row>
    <row r="76" spans="1:18" x14ac:dyDescent="0.2">
      <c r="A76" s="2"/>
      <c r="B76" s="73"/>
      <c r="C76" s="74"/>
      <c r="D76" s="74"/>
      <c r="E76" s="74"/>
      <c r="F76" s="74"/>
      <c r="G76" s="74"/>
      <c r="H76" s="74"/>
      <c r="I76" s="74"/>
      <c r="J76" s="74"/>
      <c r="K76" s="192"/>
      <c r="L76" s="192"/>
      <c r="M76" s="74"/>
      <c r="N76" s="2"/>
      <c r="O76" s="2"/>
      <c r="P76" s="2"/>
      <c r="Q76" s="2"/>
      <c r="R76" s="2"/>
    </row>
    <row r="77" spans="1:18" x14ac:dyDescent="0.2">
      <c r="A77" s="2"/>
      <c r="B77" s="73"/>
      <c r="C77" s="74"/>
      <c r="D77" s="74"/>
      <c r="E77" s="74"/>
      <c r="F77" s="74"/>
      <c r="G77" s="74"/>
      <c r="H77" s="74"/>
      <c r="I77" s="74"/>
      <c r="J77" s="74"/>
      <c r="K77" s="192"/>
      <c r="L77" s="192"/>
      <c r="M77" s="74"/>
      <c r="N77" s="2"/>
      <c r="O77" s="2"/>
      <c r="P77" s="2"/>
      <c r="Q77" s="2"/>
      <c r="R77" s="2"/>
    </row>
    <row r="78" spans="1:18" x14ac:dyDescent="0.2">
      <c r="A78" s="2"/>
      <c r="B78" s="70"/>
      <c r="C78" s="74"/>
      <c r="D78" s="74"/>
      <c r="E78" s="74"/>
      <c r="F78" s="74"/>
      <c r="G78" s="74"/>
      <c r="H78" s="74"/>
      <c r="I78" s="74"/>
      <c r="J78" s="74"/>
      <c r="K78" s="192"/>
      <c r="L78" s="192"/>
      <c r="M78" s="74"/>
      <c r="N78" s="2"/>
      <c r="O78" s="2"/>
      <c r="P78" s="2"/>
      <c r="Q78" s="2"/>
      <c r="R78" s="2"/>
    </row>
    <row r="79" spans="1:18" ht="15.75" x14ac:dyDescent="0.25">
      <c r="A79" s="76"/>
      <c r="B79" s="70"/>
      <c r="C79" s="74"/>
      <c r="D79" s="74"/>
      <c r="E79" s="74"/>
      <c r="F79" s="74"/>
      <c r="G79" s="74"/>
      <c r="H79" s="74"/>
      <c r="I79" s="74"/>
      <c r="J79" s="74"/>
      <c r="K79" s="192"/>
      <c r="L79" s="192"/>
      <c r="M79" s="75"/>
      <c r="N79" s="2"/>
      <c r="O79" s="2"/>
      <c r="P79" s="2"/>
      <c r="Q79" s="2"/>
      <c r="R79" s="2"/>
    </row>
    <row r="80" spans="1:18" ht="15.75" x14ac:dyDescent="0.25">
      <c r="A80" s="76"/>
      <c r="B80" s="70"/>
      <c r="C80" s="74"/>
      <c r="D80" s="74"/>
      <c r="E80" s="74"/>
      <c r="F80" s="74"/>
      <c r="G80" s="74"/>
      <c r="H80" s="74"/>
      <c r="I80" s="74"/>
      <c r="J80" s="74"/>
      <c r="K80" s="192"/>
      <c r="L80" s="192"/>
      <c r="M80" s="75"/>
      <c r="N80" s="2"/>
      <c r="O80" s="2"/>
      <c r="P80" s="2"/>
      <c r="Q80" s="2"/>
      <c r="R80" s="2"/>
    </row>
    <row r="81" spans="1:18" ht="15.75" x14ac:dyDescent="0.25">
      <c r="A81" s="76"/>
      <c r="B81" s="70"/>
      <c r="C81" s="74"/>
      <c r="D81" s="74"/>
      <c r="E81" s="74"/>
      <c r="F81" s="74"/>
      <c r="G81" s="74"/>
      <c r="H81" s="74"/>
      <c r="I81" s="74"/>
      <c r="J81" s="74"/>
      <c r="K81" s="192"/>
      <c r="L81" s="192"/>
      <c r="M81" s="75"/>
      <c r="N81" s="2"/>
      <c r="O81" s="2"/>
      <c r="P81" s="2"/>
      <c r="Q81" s="2"/>
      <c r="R81" s="2"/>
    </row>
    <row r="82" spans="1:18" x14ac:dyDescent="0.2">
      <c r="A82" s="2"/>
      <c r="B82" s="70"/>
      <c r="C82" s="74"/>
      <c r="D82" s="74"/>
      <c r="E82" s="74"/>
      <c r="F82" s="74"/>
      <c r="G82" s="74"/>
      <c r="H82" s="74"/>
      <c r="I82" s="74"/>
      <c r="J82" s="74"/>
      <c r="K82" s="192"/>
      <c r="L82" s="192"/>
      <c r="M82" s="75"/>
      <c r="N82" s="2"/>
      <c r="O82" s="2"/>
      <c r="P82" s="2"/>
      <c r="Q82" s="2"/>
      <c r="R82" s="2"/>
    </row>
    <row r="83" spans="1:18" ht="15.75" x14ac:dyDescent="0.25">
      <c r="A83" s="76"/>
      <c r="B83" s="73"/>
      <c r="C83" s="74"/>
      <c r="D83" s="74"/>
      <c r="E83" s="74"/>
      <c r="F83" s="74"/>
      <c r="G83" s="74"/>
      <c r="H83" s="74"/>
      <c r="I83" s="74"/>
      <c r="J83" s="74"/>
      <c r="K83" s="192"/>
      <c r="L83" s="192"/>
      <c r="M83" s="75"/>
      <c r="N83" s="2"/>
      <c r="O83" s="2"/>
      <c r="P83" s="2"/>
      <c r="Q83" s="2"/>
      <c r="R83" s="2"/>
    </row>
    <row r="84" spans="1:18" x14ac:dyDescent="0.2">
      <c r="A84" s="2"/>
      <c r="B84" s="73"/>
      <c r="C84" s="74"/>
      <c r="D84" s="74"/>
      <c r="E84" s="74"/>
      <c r="F84" s="74"/>
      <c r="G84" s="74"/>
      <c r="H84" s="74"/>
      <c r="I84" s="74"/>
      <c r="J84" s="74"/>
      <c r="K84" s="192"/>
      <c r="L84" s="192"/>
      <c r="M84" s="75"/>
      <c r="N84" s="2"/>
      <c r="O84" s="2"/>
      <c r="P84" s="2"/>
      <c r="Q84" s="2"/>
      <c r="R84" s="2"/>
    </row>
    <row r="85" spans="1:18" x14ac:dyDescent="0.2">
      <c r="A85" s="2"/>
      <c r="B85" s="73"/>
      <c r="C85" s="74"/>
      <c r="D85" s="74"/>
      <c r="E85" s="74"/>
      <c r="F85" s="74"/>
      <c r="G85" s="74"/>
      <c r="H85" s="74"/>
      <c r="I85" s="74"/>
      <c r="J85" s="74"/>
      <c r="K85" s="192"/>
      <c r="L85" s="192"/>
      <c r="M85" s="75"/>
      <c r="N85" s="2"/>
      <c r="O85" s="2"/>
      <c r="P85" s="2"/>
      <c r="Q85" s="2"/>
      <c r="R85" s="2"/>
    </row>
    <row r="86" spans="1:18" x14ac:dyDescent="0.2">
      <c r="A86" s="2"/>
      <c r="B86" s="77"/>
      <c r="C86" s="74"/>
      <c r="D86" s="74"/>
      <c r="E86" s="74"/>
      <c r="F86" s="74"/>
      <c r="G86" s="74"/>
      <c r="H86" s="74"/>
      <c r="I86" s="74"/>
      <c r="J86" s="74"/>
      <c r="K86" s="192"/>
      <c r="L86" s="192"/>
      <c r="M86" s="75"/>
      <c r="N86" s="2"/>
      <c r="O86" s="2"/>
      <c r="P86" s="2"/>
      <c r="Q86" s="2"/>
      <c r="R86" s="2"/>
    </row>
    <row r="87" spans="1:18" x14ac:dyDescent="0.2">
      <c r="A87" s="2"/>
      <c r="B87" s="77"/>
      <c r="C87" s="74"/>
      <c r="D87" s="74"/>
      <c r="E87" s="74"/>
      <c r="F87" s="74"/>
      <c r="G87" s="74"/>
      <c r="H87" s="74"/>
      <c r="I87" s="74"/>
      <c r="J87" s="74"/>
      <c r="K87" s="192"/>
      <c r="L87" s="192"/>
      <c r="M87" s="75"/>
      <c r="N87" s="2"/>
      <c r="O87" s="2"/>
      <c r="P87" s="2"/>
      <c r="Q87" s="2"/>
      <c r="R87" s="2"/>
    </row>
    <row r="88" spans="1:18" x14ac:dyDescent="0.2">
      <c r="A88" s="2"/>
      <c r="B88" s="77"/>
      <c r="C88" s="74"/>
      <c r="D88" s="74"/>
      <c r="E88" s="74"/>
      <c r="F88" s="74"/>
      <c r="G88" s="74"/>
      <c r="H88" s="74"/>
      <c r="I88" s="74"/>
      <c r="J88" s="74"/>
      <c r="K88" s="192"/>
      <c r="L88" s="192"/>
      <c r="M88" s="75"/>
      <c r="N88" s="2"/>
      <c r="O88" s="2"/>
      <c r="P88" s="2"/>
      <c r="Q88" s="2"/>
      <c r="R88" s="2"/>
    </row>
    <row r="89" spans="1:18" x14ac:dyDescent="0.2">
      <c r="A89" s="2"/>
      <c r="B89" s="77"/>
      <c r="C89" s="74"/>
      <c r="D89" s="74"/>
      <c r="E89" s="74"/>
      <c r="F89" s="74"/>
      <c r="G89" s="74"/>
      <c r="H89" s="74"/>
      <c r="I89" s="74"/>
      <c r="J89" s="74"/>
      <c r="K89" s="192"/>
      <c r="L89" s="192"/>
      <c r="M89" s="75"/>
      <c r="N89" s="2"/>
      <c r="O89" s="2"/>
      <c r="P89" s="2"/>
      <c r="Q89" s="2"/>
      <c r="R89" s="2"/>
    </row>
    <row r="90" spans="1:18" x14ac:dyDescent="0.2">
      <c r="A90" s="2"/>
      <c r="B90" s="77"/>
      <c r="C90" s="74"/>
      <c r="D90" s="74"/>
      <c r="E90" s="74"/>
      <c r="F90" s="74"/>
      <c r="G90" s="74"/>
      <c r="H90" s="74"/>
      <c r="I90" s="74"/>
      <c r="J90" s="74"/>
      <c r="K90" s="192"/>
      <c r="L90" s="192"/>
      <c r="M90" s="75"/>
      <c r="N90" s="2"/>
      <c r="O90" s="2"/>
      <c r="P90" s="2"/>
      <c r="Q90" s="2"/>
      <c r="R90" s="2"/>
    </row>
    <row r="91" spans="1:18" x14ac:dyDescent="0.2">
      <c r="A91" s="2"/>
      <c r="B91" s="77"/>
      <c r="C91" s="74"/>
      <c r="D91" s="74"/>
      <c r="E91" s="74"/>
      <c r="F91" s="74"/>
      <c r="G91" s="74"/>
      <c r="H91" s="74"/>
      <c r="I91" s="74"/>
      <c r="J91" s="74"/>
      <c r="K91" s="192"/>
      <c r="L91" s="192"/>
      <c r="M91" s="75"/>
      <c r="N91" s="2"/>
      <c r="O91" s="2"/>
      <c r="P91" s="2"/>
      <c r="Q91" s="2"/>
      <c r="R91" s="2"/>
    </row>
    <row r="92" spans="1:18" x14ac:dyDescent="0.2">
      <c r="A92" s="2"/>
      <c r="B92" s="77"/>
      <c r="C92" s="74"/>
      <c r="D92" s="74"/>
      <c r="E92" s="74"/>
      <c r="F92" s="74"/>
      <c r="G92" s="74"/>
      <c r="H92" s="74"/>
      <c r="I92" s="74"/>
      <c r="J92" s="74"/>
      <c r="K92" s="192"/>
      <c r="L92" s="192"/>
      <c r="M92" s="75"/>
      <c r="N92" s="2"/>
      <c r="O92" s="2"/>
      <c r="P92" s="2"/>
      <c r="Q92" s="2"/>
      <c r="R92" s="2"/>
    </row>
    <row r="93" spans="1:18" x14ac:dyDescent="0.2">
      <c r="A93" s="2"/>
      <c r="B93" s="77"/>
      <c r="C93" s="74"/>
      <c r="D93" s="74"/>
      <c r="E93" s="74"/>
      <c r="F93" s="74"/>
      <c r="G93" s="74"/>
      <c r="H93" s="74"/>
      <c r="I93" s="74"/>
      <c r="J93" s="74"/>
      <c r="K93" s="192"/>
      <c r="L93" s="192"/>
      <c r="M93" s="75"/>
      <c r="N93" s="2"/>
      <c r="O93" s="2"/>
      <c r="P93" s="2"/>
      <c r="Q93" s="2"/>
      <c r="R93" s="2"/>
    </row>
    <row r="94" spans="1:18" x14ac:dyDescent="0.2">
      <c r="A94" s="2"/>
      <c r="B94" s="77"/>
      <c r="C94" s="74"/>
      <c r="D94" s="74"/>
      <c r="E94" s="74"/>
      <c r="F94" s="74"/>
      <c r="G94" s="74"/>
      <c r="H94" s="74"/>
      <c r="I94" s="74"/>
      <c r="J94" s="74"/>
      <c r="K94" s="192"/>
      <c r="L94" s="192"/>
      <c r="M94" s="75"/>
      <c r="N94" s="2"/>
      <c r="O94" s="2"/>
      <c r="P94" s="2"/>
      <c r="Q94" s="2"/>
      <c r="R94" s="2"/>
    </row>
    <row r="95" spans="1:18" x14ac:dyDescent="0.2">
      <c r="A95" s="2"/>
      <c r="B95" s="2"/>
      <c r="C95" s="74"/>
      <c r="D95" s="74"/>
      <c r="E95" s="74"/>
      <c r="F95" s="74"/>
      <c r="G95" s="74"/>
      <c r="H95" s="74"/>
      <c r="I95" s="74"/>
      <c r="J95" s="74"/>
      <c r="K95" s="192"/>
      <c r="L95" s="192"/>
      <c r="M95" s="75"/>
      <c r="N95" s="2"/>
      <c r="O95" s="2"/>
      <c r="P95" s="2"/>
      <c r="Q95" s="2"/>
      <c r="R95" s="2"/>
    </row>
    <row r="96" spans="1:18" ht="15.75" x14ac:dyDescent="0.25">
      <c r="A96" s="76"/>
      <c r="B96" s="2"/>
      <c r="C96" s="74"/>
      <c r="D96" s="74"/>
      <c r="E96" s="74"/>
      <c r="F96" s="74"/>
      <c r="G96" s="74"/>
      <c r="H96" s="74"/>
      <c r="I96" s="74"/>
      <c r="J96" s="74"/>
      <c r="K96" s="192"/>
      <c r="L96" s="192"/>
      <c r="M96" s="75"/>
      <c r="N96" s="2"/>
      <c r="O96" s="2"/>
      <c r="P96" s="2"/>
      <c r="Q96" s="2"/>
      <c r="R96" s="2"/>
    </row>
    <row r="97" spans="1:18" x14ac:dyDescent="0.2">
      <c r="A97" s="2"/>
      <c r="B97" s="2"/>
      <c r="C97" s="74"/>
      <c r="D97" s="74"/>
      <c r="E97" s="74"/>
      <c r="F97" s="74"/>
      <c r="G97" s="74"/>
      <c r="H97" s="74"/>
      <c r="I97" s="74"/>
      <c r="J97" s="74"/>
      <c r="K97" s="192"/>
      <c r="L97" s="192"/>
      <c r="M97" s="75"/>
      <c r="N97" s="2"/>
      <c r="O97" s="2"/>
      <c r="P97" s="2"/>
      <c r="Q97" s="2"/>
      <c r="R97" s="2"/>
    </row>
    <row r="98" spans="1:18" x14ac:dyDescent="0.2">
      <c r="A98" s="2"/>
      <c r="B98" s="2"/>
      <c r="C98" s="74"/>
      <c r="D98" s="74"/>
      <c r="E98" s="74"/>
      <c r="F98" s="74"/>
      <c r="G98" s="74"/>
      <c r="H98" s="74"/>
      <c r="I98" s="74"/>
      <c r="J98" s="74"/>
      <c r="K98" s="192"/>
      <c r="L98" s="192"/>
      <c r="M98" s="75"/>
      <c r="N98" s="2"/>
      <c r="O98" s="2"/>
      <c r="P98" s="2"/>
      <c r="Q98" s="2"/>
      <c r="R98" s="2"/>
    </row>
    <row r="99" spans="1:18" ht="15.75" x14ac:dyDescent="0.25">
      <c r="A99" s="76"/>
      <c r="B99" s="2"/>
      <c r="C99" s="74"/>
      <c r="D99" s="74"/>
      <c r="E99" s="74"/>
      <c r="F99" s="74"/>
      <c r="G99" s="74"/>
      <c r="H99" s="74"/>
      <c r="I99" s="74"/>
      <c r="J99" s="74"/>
      <c r="K99" s="192"/>
      <c r="L99" s="192"/>
      <c r="M99" s="75"/>
      <c r="N99" s="2"/>
      <c r="O99" s="2"/>
      <c r="P99" s="2"/>
      <c r="Q99" s="2"/>
      <c r="R99" s="2"/>
    </row>
    <row r="100" spans="1:18" ht="15.75" x14ac:dyDescent="0.25">
      <c r="A100" s="76"/>
      <c r="B100" s="2"/>
      <c r="C100" s="74"/>
      <c r="D100" s="74"/>
      <c r="E100" s="74"/>
      <c r="F100" s="74"/>
      <c r="G100" s="74"/>
      <c r="H100" s="74"/>
      <c r="I100" s="74"/>
      <c r="J100" s="74"/>
      <c r="K100" s="192"/>
      <c r="L100" s="192"/>
      <c r="M100" s="75"/>
      <c r="N100" s="2"/>
      <c r="O100" s="2"/>
      <c r="P100" s="2"/>
      <c r="Q100" s="2"/>
      <c r="R100" s="2"/>
    </row>
    <row r="101" spans="1:18" ht="15.75" x14ac:dyDescent="0.25">
      <c r="A101" s="76"/>
      <c r="B101" s="77"/>
      <c r="C101" s="74"/>
      <c r="D101" s="74"/>
      <c r="E101" s="74"/>
      <c r="F101" s="74"/>
      <c r="G101" s="74"/>
      <c r="H101" s="74"/>
      <c r="I101" s="74"/>
      <c r="J101" s="74"/>
      <c r="K101" s="192"/>
      <c r="L101" s="192"/>
      <c r="M101" s="75"/>
      <c r="N101" s="2"/>
      <c r="O101" s="2"/>
      <c r="P101" s="2"/>
      <c r="Q101" s="2"/>
      <c r="R101" s="2"/>
    </row>
    <row r="102" spans="1:18" x14ac:dyDescent="0.2">
      <c r="A102" s="2"/>
      <c r="B102" s="77"/>
      <c r="C102" s="74"/>
      <c r="D102" s="74"/>
      <c r="E102" s="74"/>
      <c r="F102" s="74"/>
      <c r="G102" s="74"/>
      <c r="H102" s="74"/>
      <c r="I102" s="74"/>
      <c r="J102" s="74"/>
      <c r="K102" s="192"/>
      <c r="L102" s="192"/>
      <c r="M102" s="75"/>
      <c r="N102" s="2"/>
      <c r="O102" s="2"/>
      <c r="P102" s="2"/>
      <c r="Q102" s="2"/>
      <c r="R102" s="2"/>
    </row>
    <row r="103" spans="1:18" x14ac:dyDescent="0.2">
      <c r="A103" s="2"/>
      <c r="B103" s="77"/>
      <c r="C103" s="74"/>
      <c r="D103" s="74"/>
      <c r="E103" s="74"/>
      <c r="F103" s="74"/>
      <c r="G103" s="74"/>
      <c r="H103" s="74"/>
      <c r="I103" s="74"/>
      <c r="J103" s="74"/>
      <c r="K103" s="192"/>
      <c r="L103" s="192"/>
      <c r="M103" s="75"/>
      <c r="N103" s="2"/>
      <c r="O103" s="2"/>
      <c r="P103" s="2"/>
      <c r="Q103" s="2"/>
      <c r="R103" s="2"/>
    </row>
    <row r="104" spans="1:18" x14ac:dyDescent="0.2">
      <c r="A104" s="2"/>
      <c r="B104" s="77"/>
      <c r="C104" s="74"/>
      <c r="D104" s="74"/>
      <c r="E104" s="74"/>
      <c r="F104" s="74"/>
      <c r="G104" s="74"/>
      <c r="H104" s="74"/>
      <c r="I104" s="74"/>
      <c r="J104" s="74"/>
      <c r="K104" s="192"/>
      <c r="L104" s="192"/>
      <c r="M104" s="75"/>
      <c r="N104" s="2"/>
      <c r="O104" s="2"/>
      <c r="P104" s="2"/>
      <c r="Q104" s="2"/>
      <c r="R104" s="2"/>
    </row>
    <row r="105" spans="1:18" x14ac:dyDescent="0.2">
      <c r="A105" s="2"/>
      <c r="B105" s="77"/>
      <c r="C105" s="74"/>
      <c r="D105" s="74"/>
      <c r="E105" s="74"/>
      <c r="F105" s="74"/>
      <c r="G105" s="74"/>
      <c r="H105" s="74"/>
      <c r="I105" s="74"/>
      <c r="J105" s="74"/>
      <c r="K105" s="192"/>
      <c r="L105" s="192"/>
      <c r="M105" s="75"/>
      <c r="N105" s="2"/>
      <c r="O105" s="2"/>
      <c r="P105" s="2"/>
      <c r="Q105" s="2"/>
      <c r="R105" s="2"/>
    </row>
    <row r="106" spans="1:18" x14ac:dyDescent="0.2">
      <c r="A106" s="2"/>
      <c r="B106" s="77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x14ac:dyDescent="0.2">
      <c r="A107" s="2"/>
      <c r="B107" s="77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7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x14ac:dyDescent="0.2">
      <c r="A109" s="2"/>
      <c r="B109" s="77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7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7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7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2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ht="15.75" x14ac:dyDescent="0.25">
      <c r="A114" s="76"/>
      <c r="B114" s="2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2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5"/>
      <c r="N115" s="2"/>
      <c r="O115" s="2"/>
      <c r="P115" s="2"/>
      <c r="Q115" s="2"/>
      <c r="R115" s="2"/>
    </row>
    <row r="116" spans="1:18" x14ac:dyDescent="0.2">
      <c r="A116" s="2"/>
      <c r="B116" s="2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5"/>
      <c r="N116" s="2"/>
      <c r="O116" s="2"/>
      <c r="P116" s="2"/>
      <c r="Q116" s="2"/>
      <c r="R116" s="2"/>
    </row>
    <row r="117" spans="1:18" ht="15.75" x14ac:dyDescent="0.25">
      <c r="A117" s="76"/>
      <c r="B117" s="77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5"/>
      <c r="N117" s="2"/>
      <c r="O117" s="2"/>
      <c r="P117" s="2"/>
      <c r="Q117" s="2"/>
      <c r="R117" s="2"/>
    </row>
    <row r="118" spans="1:18" x14ac:dyDescent="0.2">
      <c r="A118" s="2"/>
      <c r="B118" s="77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x14ac:dyDescent="0.2">
      <c r="A119" s="2"/>
      <c r="B119" s="77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2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2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x14ac:dyDescent="0.2">
      <c r="A122" s="2"/>
      <c r="B122" s="2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ht="15.75" x14ac:dyDescent="0.25">
      <c r="A123" s="76"/>
      <c r="B123" s="2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2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2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ht="15.75" x14ac:dyDescent="0.25">
      <c r="A126" s="76"/>
      <c r="B126" s="76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2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2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2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2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2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2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2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2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x14ac:dyDescent="0.2">
      <c r="A135" s="2"/>
      <c r="B135" s="2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2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2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2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x14ac:dyDescent="0.2">
      <c r="A140" s="2"/>
      <c r="B140" s="2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2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2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2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2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2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2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x14ac:dyDescent="0.2">
      <c r="A152" s="2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x14ac:dyDescent="0.2">
      <c r="A153" s="2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2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2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2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STATS'!$C$13*2</f>
        <v>229528</v>
      </c>
      <c r="D10" s="89">
        <f>'MONTHLY STATS'!$C$17*2</f>
        <v>124414</v>
      </c>
      <c r="E10" s="89">
        <f>'MONTHLY STATS'!$C$21*2</f>
        <v>708928</v>
      </c>
      <c r="F10" s="89">
        <f>'MONTHLY STATS'!$C$25*2</f>
        <v>399396</v>
      </c>
      <c r="G10" s="89">
        <f>'MONTHLY STATS'!$C$29*2</f>
        <v>188900</v>
      </c>
      <c r="H10" s="89">
        <f>'MONTHLY STATS'!$C$33*2</f>
        <v>438240</v>
      </c>
      <c r="I10" s="89">
        <f>'MONTHLY STATS'!$C$37*2</f>
        <v>455910</v>
      </c>
      <c r="J10" s="89">
        <f>'MONTHLY STATS'!$C$41*2</f>
        <v>524176</v>
      </c>
      <c r="K10" s="89">
        <f>'MONTHLY STATS'!$C$45*2</f>
        <v>745328</v>
      </c>
      <c r="L10" s="89">
        <f>'MONTHLY STATS'!$C$49*2</f>
        <v>86244</v>
      </c>
      <c r="M10" s="89">
        <f>'MONTHLY STATS'!$C$53*2</f>
        <v>682716</v>
      </c>
      <c r="N10" s="89">
        <f>'MONTHLY STATS'!$C$57*2</f>
        <v>132646</v>
      </c>
      <c r="O10" s="90">
        <f>SUM(B10:N10)</f>
        <v>5114368</v>
      </c>
      <c r="P10" s="83"/>
    </row>
    <row r="11" spans="1:16" ht="15.75" x14ac:dyDescent="0.25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3"/>
    </row>
    <row r="12" spans="1:16" ht="15.75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3"/>
    </row>
    <row r="13" spans="1:16" ht="15.75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397942</v>
      </c>
      <c r="C23" s="90">
        <f t="shared" si="0"/>
        <v>229528</v>
      </c>
      <c r="D23" s="90">
        <f t="shared" si="0"/>
        <v>124414</v>
      </c>
      <c r="E23" s="90">
        <f t="shared" si="0"/>
        <v>708928</v>
      </c>
      <c r="F23" s="90">
        <f t="shared" si="0"/>
        <v>399396</v>
      </c>
      <c r="G23" s="90">
        <f>SUM(G10:G21)</f>
        <v>188900</v>
      </c>
      <c r="H23" s="90">
        <f t="shared" si="0"/>
        <v>438240</v>
      </c>
      <c r="I23" s="90">
        <f>SUM(I10:I21)</f>
        <v>455910</v>
      </c>
      <c r="J23" s="90">
        <f t="shared" si="0"/>
        <v>524176</v>
      </c>
      <c r="K23" s="90">
        <f>SUM(K10:K21)</f>
        <v>745328</v>
      </c>
      <c r="L23" s="90">
        <f t="shared" si="0"/>
        <v>86244</v>
      </c>
      <c r="M23" s="90">
        <f t="shared" si="0"/>
        <v>682716</v>
      </c>
      <c r="N23" s="90">
        <f t="shared" si="0"/>
        <v>132646</v>
      </c>
      <c r="O23" s="90">
        <f t="shared" si="0"/>
        <v>5114368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STATS'!$K$13*0.21</f>
        <v>1722035.5466999998</v>
      </c>
      <c r="D31" s="89">
        <f>'MONTHLY STATS'!$K$17*0.21</f>
        <v>817934.35290000006</v>
      </c>
      <c r="E31" s="89">
        <f>'MONTHLY STATS'!$K$21*0.21</f>
        <v>4674596.7617999995</v>
      </c>
      <c r="F31" s="89">
        <f>'MONTHLY STATS'!$K$25*0.21</f>
        <v>3228902.0589000001</v>
      </c>
      <c r="G31" s="89">
        <f>'MONTHLY STATS'!$K$29*0.21</f>
        <v>1319580.5342999999</v>
      </c>
      <c r="H31" s="89">
        <f>'MONTHLY STATS'!$K$33*0.21</f>
        <v>2268943.7148000002</v>
      </c>
      <c r="I31" s="89">
        <f>'MONTHLY STATS'!$K$37*0.21</f>
        <v>2947257.6987000001</v>
      </c>
      <c r="J31" s="89">
        <f>'MONTHLY STATS'!$K$41*0.21</f>
        <v>3704387.8221</v>
      </c>
      <c r="K31" s="89">
        <f>'MONTHLY STATS'!$K$45*0.21</f>
        <v>4669398.8481000001</v>
      </c>
      <c r="L31" s="89">
        <f>'MONTHLY STATS'!$K$49*0.21</f>
        <v>667459.5858</v>
      </c>
      <c r="M31" s="89">
        <f>'MONTHLY STATS'!$K$53*0.21</f>
        <v>5390783.5358999996</v>
      </c>
      <c r="N31" s="89">
        <f>'MONTHLY STATS'!$K$57*0.21</f>
        <v>821402.96069999994</v>
      </c>
      <c r="O31" s="90">
        <f>SUM(B31:N31)</f>
        <v>35378899.489499994</v>
      </c>
      <c r="P31" s="83"/>
    </row>
    <row r="32" spans="1:16" ht="15.75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83"/>
    </row>
    <row r="33" spans="1:16" ht="15.75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0"/>
      <c r="P33" s="83"/>
    </row>
    <row r="34" spans="1:16" ht="15.75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3146216.0687999995</v>
      </c>
      <c r="C44" s="90">
        <f t="shared" si="1"/>
        <v>1722035.5466999998</v>
      </c>
      <c r="D44" s="90">
        <f t="shared" si="1"/>
        <v>817934.35290000006</v>
      </c>
      <c r="E44" s="90">
        <f t="shared" si="1"/>
        <v>4674596.7617999995</v>
      </c>
      <c r="F44" s="90">
        <f t="shared" si="1"/>
        <v>3228902.0589000001</v>
      </c>
      <c r="G44" s="90">
        <f t="shared" si="1"/>
        <v>1319580.5342999999</v>
      </c>
      <c r="H44" s="90">
        <f t="shared" si="1"/>
        <v>2268943.7148000002</v>
      </c>
      <c r="I44" s="90">
        <f>SUM(I31:I42)</f>
        <v>2947257.6987000001</v>
      </c>
      <c r="J44" s="90">
        <f t="shared" si="1"/>
        <v>3704387.8221</v>
      </c>
      <c r="K44" s="90">
        <f>SUM(K31:K42)</f>
        <v>4669398.8481000001</v>
      </c>
      <c r="L44" s="90">
        <f t="shared" si="1"/>
        <v>667459.5858</v>
      </c>
      <c r="M44" s="90">
        <f t="shared" si="1"/>
        <v>5390783.5358999996</v>
      </c>
      <c r="N44" s="90">
        <f t="shared" si="1"/>
        <v>821402.96069999994</v>
      </c>
      <c r="O44" s="90">
        <f t="shared" si="1"/>
        <v>35378899.489499994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>(+D9-E9)/E9</f>
        <v>-8.6604921297017204E-2</v>
      </c>
      <c r="G9" s="215">
        <f>D9/C9</f>
        <v>0.16084298140916145</v>
      </c>
      <c r="H9" s="123"/>
    </row>
    <row r="10" spans="1:8" ht="15.75" thickBot="1" x14ac:dyDescent="0.25">
      <c r="A10" s="133"/>
      <c r="B10" s="134"/>
      <c r="C10" s="204"/>
      <c r="D10" s="204"/>
      <c r="E10" s="204"/>
      <c r="F10" s="132"/>
      <c r="G10" s="215"/>
      <c r="H10" s="123"/>
    </row>
    <row r="11" spans="1:8" ht="17.25" thickTop="1" thickBot="1" x14ac:dyDescent="0.3">
      <c r="A11" s="135" t="s">
        <v>14</v>
      </c>
      <c r="B11" s="136"/>
      <c r="C11" s="201">
        <f>SUM(C9:C10)</f>
        <v>17140378</v>
      </c>
      <c r="D11" s="201">
        <f>SUM(D9:D10)</f>
        <v>2756909.5</v>
      </c>
      <c r="E11" s="201">
        <f>SUM(E9:E10)</f>
        <v>3018310</v>
      </c>
      <c r="F11" s="137">
        <f>(+D11-E11)/E11</f>
        <v>-8.6604921297017204E-2</v>
      </c>
      <c r="G11" s="212">
        <f>D11/C11</f>
        <v>0.16084298140916145</v>
      </c>
      <c r="H11" s="123"/>
    </row>
    <row r="12" spans="1:8" ht="15.75" customHeight="1" thickTop="1" x14ac:dyDescent="0.25">
      <c r="A12" s="138"/>
      <c r="B12" s="139"/>
      <c r="C12" s="205"/>
      <c r="D12" s="205"/>
      <c r="E12" s="205"/>
      <c r="F12" s="140"/>
      <c r="G12" s="216"/>
      <c r="H12" s="123"/>
    </row>
    <row r="13" spans="1:8" ht="15.75" x14ac:dyDescent="0.25">
      <c r="A13" s="19" t="s">
        <v>15</v>
      </c>
      <c r="B13" s="131">
        <f>DATE(2023,7,1)</f>
        <v>45108</v>
      </c>
      <c r="C13" s="204">
        <v>2471937</v>
      </c>
      <c r="D13" s="204">
        <v>614728</v>
      </c>
      <c r="E13" s="204">
        <v>637839.5</v>
      </c>
      <c r="F13" s="132">
        <f>(+D13-E13)/E13</f>
        <v>-3.62340369324885E-2</v>
      </c>
      <c r="G13" s="215">
        <f>D13/C13</f>
        <v>0.24868271319212423</v>
      </c>
      <c r="H13" s="123"/>
    </row>
    <row r="14" spans="1:8" ht="15.75" thickBot="1" x14ac:dyDescent="0.25">
      <c r="A14" s="133"/>
      <c r="B14" s="131"/>
      <c r="C14" s="204"/>
      <c r="D14" s="204"/>
      <c r="E14" s="204"/>
      <c r="F14" s="132"/>
      <c r="G14" s="215"/>
      <c r="H14" s="123"/>
    </row>
    <row r="15" spans="1:8" ht="17.25" thickTop="1" thickBot="1" x14ac:dyDescent="0.3">
      <c r="A15" s="135" t="s">
        <v>14</v>
      </c>
      <c r="B15" s="136"/>
      <c r="C15" s="201">
        <f>SUM(C13:C14)</f>
        <v>2471937</v>
      </c>
      <c r="D15" s="201">
        <f>SUM(D13:D14)</f>
        <v>614728</v>
      </c>
      <c r="E15" s="201">
        <f>SUM(E13:E14)</f>
        <v>637839.5</v>
      </c>
      <c r="F15" s="137">
        <f>(+D15-E15)/E15</f>
        <v>-3.62340369324885E-2</v>
      </c>
      <c r="G15" s="212">
        <f>D15/C15</f>
        <v>0.24868271319212423</v>
      </c>
      <c r="H15" s="123"/>
    </row>
    <row r="16" spans="1:8" ht="15.75" customHeight="1" thickTop="1" x14ac:dyDescent="0.25">
      <c r="A16" s="255"/>
      <c r="B16" s="139"/>
      <c r="C16" s="205"/>
      <c r="D16" s="205"/>
      <c r="E16" s="205"/>
      <c r="F16" s="140"/>
      <c r="G16" s="219"/>
      <c r="H16" s="123"/>
    </row>
    <row r="17" spans="1:8" ht="15.75" x14ac:dyDescent="0.25">
      <c r="A17" s="19" t="s">
        <v>62</v>
      </c>
      <c r="B17" s="131">
        <f>DATE(2023,7,1)</f>
        <v>45108</v>
      </c>
      <c r="C17" s="204">
        <v>1300276</v>
      </c>
      <c r="D17" s="204">
        <v>166322.5</v>
      </c>
      <c r="E17" s="204">
        <v>249087.5</v>
      </c>
      <c r="F17" s="132">
        <f>(+D17-E17)/E17</f>
        <v>-0.33227279570432078</v>
      </c>
      <c r="G17" s="215">
        <f>D17/C17</f>
        <v>0.12791322765320592</v>
      </c>
      <c r="H17" s="123"/>
    </row>
    <row r="18" spans="1:8" ht="15.75" thickBot="1" x14ac:dyDescent="0.25">
      <c r="A18" s="133"/>
      <c r="B18" s="131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41" t="s">
        <v>14</v>
      </c>
      <c r="B19" s="142"/>
      <c r="C19" s="206">
        <f>SUM(C17:C18)</f>
        <v>1300276</v>
      </c>
      <c r="D19" s="206">
        <f>SUM(D17:D18)</f>
        <v>166322.5</v>
      </c>
      <c r="E19" s="206">
        <f>SUM(E17:E18)</f>
        <v>249087.5</v>
      </c>
      <c r="F19" s="143">
        <f>(+D19-E19)/E19</f>
        <v>-0.33227279570432078</v>
      </c>
      <c r="G19" s="217">
        <f>D19/C19</f>
        <v>0.12791322765320592</v>
      </c>
      <c r="H19" s="123"/>
    </row>
    <row r="20" spans="1:8" ht="15.75" thickTop="1" x14ac:dyDescent="0.2">
      <c r="A20" s="133"/>
      <c r="B20" s="134"/>
      <c r="C20" s="204"/>
      <c r="D20" s="204"/>
      <c r="E20" s="204"/>
      <c r="F20" s="132"/>
      <c r="G20" s="218"/>
      <c r="H20" s="123"/>
    </row>
    <row r="21" spans="1:8" ht="15.75" x14ac:dyDescent="0.25">
      <c r="A21" s="177" t="s">
        <v>58</v>
      </c>
      <c r="B21" s="131">
        <f>DATE(2023,7,1)</f>
        <v>45108</v>
      </c>
      <c r="C21" s="204">
        <v>17665326</v>
      </c>
      <c r="D21" s="204">
        <v>3803316</v>
      </c>
      <c r="E21" s="204">
        <v>3390213</v>
      </c>
      <c r="F21" s="132">
        <f>(+D21-E21)/E21</f>
        <v>0.12185163587066654</v>
      </c>
      <c r="G21" s="215">
        <f>D21/C21</f>
        <v>0.21529837603902696</v>
      </c>
      <c r="H21" s="123"/>
    </row>
    <row r="22" spans="1:8" ht="15.75" customHeight="1" thickBot="1" x14ac:dyDescent="0.25">
      <c r="A22" s="133"/>
      <c r="B22" s="134"/>
      <c r="C22" s="204"/>
      <c r="D22" s="204"/>
      <c r="E22" s="204"/>
      <c r="F22" s="132"/>
      <c r="G22" s="215"/>
      <c r="H22" s="123"/>
    </row>
    <row r="23" spans="1:8" ht="17.25" customHeight="1" thickTop="1" thickBot="1" x14ac:dyDescent="0.3">
      <c r="A23" s="141" t="s">
        <v>14</v>
      </c>
      <c r="B23" s="142"/>
      <c r="C23" s="206">
        <f>SUM(C21:C22)</f>
        <v>17665326</v>
      </c>
      <c r="D23" s="206">
        <f>SUM(D21:D22)</f>
        <v>3803316</v>
      </c>
      <c r="E23" s="206">
        <f>SUM(E21:E22)</f>
        <v>3390213</v>
      </c>
      <c r="F23" s="143">
        <f>(+D23-E23)/E23</f>
        <v>0.12185163587066654</v>
      </c>
      <c r="G23" s="217">
        <f>D23/C23</f>
        <v>0.21529837603902696</v>
      </c>
      <c r="H23" s="123"/>
    </row>
    <row r="24" spans="1:8" ht="15.75" customHeight="1" thickTop="1" x14ac:dyDescent="0.2">
      <c r="A24" s="133"/>
      <c r="B24" s="134"/>
      <c r="C24" s="204"/>
      <c r="D24" s="204"/>
      <c r="E24" s="204"/>
      <c r="F24" s="132"/>
      <c r="G24" s="218"/>
      <c r="H24" s="123"/>
    </row>
    <row r="25" spans="1:8" ht="15" customHeight="1" x14ac:dyDescent="0.25">
      <c r="A25" s="130" t="s">
        <v>60</v>
      </c>
      <c r="B25" s="131">
        <f>DATE(2023,7,1)</f>
        <v>45108</v>
      </c>
      <c r="C25" s="204">
        <v>12723732</v>
      </c>
      <c r="D25" s="204">
        <v>3308388.5</v>
      </c>
      <c r="E25" s="204">
        <v>3195567.5</v>
      </c>
      <c r="F25" s="132">
        <f>(+D25-E25)/E25</f>
        <v>3.5305466087009588E-2</v>
      </c>
      <c r="G25" s="215">
        <f>D25/C25</f>
        <v>0.26001714748471594</v>
      </c>
      <c r="H25" s="123"/>
    </row>
    <row r="26" spans="1:8" ht="15.75" thickBot="1" x14ac:dyDescent="0.25">
      <c r="A26" s="133"/>
      <c r="B26" s="131"/>
      <c r="C26" s="204"/>
      <c r="D26" s="204"/>
      <c r="E26" s="204"/>
      <c r="F26" s="132"/>
      <c r="G26" s="215"/>
      <c r="H26" s="123"/>
    </row>
    <row r="27" spans="1:8" ht="17.25" customHeight="1" thickTop="1" thickBot="1" x14ac:dyDescent="0.3">
      <c r="A27" s="141" t="s">
        <v>14</v>
      </c>
      <c r="B27" s="142"/>
      <c r="C27" s="207">
        <f>SUM(C25:C26)</f>
        <v>12723732</v>
      </c>
      <c r="D27" s="261">
        <f>SUM(D25:D26)</f>
        <v>3308388.5</v>
      </c>
      <c r="E27" s="206">
        <f>SUM(E25:E26)</f>
        <v>3195567.5</v>
      </c>
      <c r="F27" s="268">
        <f>(+D27-E27)/E27</f>
        <v>3.5305466087009588E-2</v>
      </c>
      <c r="G27" s="267">
        <f>D27/C27</f>
        <v>0.26001714748471594</v>
      </c>
      <c r="H27" s="123"/>
    </row>
    <row r="28" spans="1:8" ht="15.75" customHeight="1" thickTop="1" x14ac:dyDescent="0.25">
      <c r="A28" s="130"/>
      <c r="B28" s="134"/>
      <c r="C28" s="204"/>
      <c r="D28" s="204"/>
      <c r="E28" s="204"/>
      <c r="F28" s="132"/>
      <c r="G28" s="218"/>
      <c r="H28" s="123"/>
    </row>
    <row r="29" spans="1:8" ht="15.75" x14ac:dyDescent="0.25">
      <c r="A29" s="130" t="s">
        <v>64</v>
      </c>
      <c r="B29" s="131">
        <f>DATE(2023,7,1)</f>
        <v>45108</v>
      </c>
      <c r="C29" s="204">
        <v>3361117</v>
      </c>
      <c r="D29" s="204">
        <v>707897</v>
      </c>
      <c r="E29" s="204">
        <v>700930</v>
      </c>
      <c r="F29" s="132">
        <f>(+D29-E29)/E29</f>
        <v>9.9396516057238243E-3</v>
      </c>
      <c r="G29" s="215">
        <f>D29/C29</f>
        <v>0.21061361446209698</v>
      </c>
      <c r="H29" s="123"/>
    </row>
    <row r="30" spans="1:8" ht="15.75" customHeight="1" thickBot="1" x14ac:dyDescent="0.3">
      <c r="A30" s="130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41" t="s">
        <v>14</v>
      </c>
      <c r="B31" s="142"/>
      <c r="C31" s="207">
        <f>SUM(C29:C30)</f>
        <v>3361117</v>
      </c>
      <c r="D31" s="261">
        <f>SUM(D29:D30)</f>
        <v>707897</v>
      </c>
      <c r="E31" s="207">
        <f>SUM(E29:E30)</f>
        <v>700930</v>
      </c>
      <c r="F31" s="268">
        <f>(+D31-E31)/E31</f>
        <v>9.9396516057238243E-3</v>
      </c>
      <c r="G31" s="267">
        <f>D31/C31</f>
        <v>0.21061361446209698</v>
      </c>
      <c r="H31" s="123"/>
    </row>
    <row r="32" spans="1:8" ht="15.75" customHeight="1" thickTop="1" x14ac:dyDescent="0.25">
      <c r="A32" s="130"/>
      <c r="B32" s="134"/>
      <c r="C32" s="204"/>
      <c r="D32" s="204"/>
      <c r="E32" s="204"/>
      <c r="F32" s="132"/>
      <c r="G32" s="218"/>
      <c r="H32" s="123"/>
    </row>
    <row r="33" spans="1:8" ht="15.75" x14ac:dyDescent="0.25">
      <c r="A33" s="130" t="s">
        <v>67</v>
      </c>
      <c r="B33" s="131">
        <f>DATE(2023,7,1)</f>
        <v>45108</v>
      </c>
      <c r="C33" s="204">
        <v>8239268</v>
      </c>
      <c r="D33" s="204">
        <v>826564</v>
      </c>
      <c r="E33" s="204">
        <v>951854</v>
      </c>
      <c r="F33" s="132">
        <f>(+D33-E33)/E33</f>
        <v>-0.13162732940135777</v>
      </c>
      <c r="G33" s="215">
        <f>D33/C33</f>
        <v>0.1003200769777121</v>
      </c>
      <c r="H33" s="123"/>
    </row>
    <row r="34" spans="1:8" ht="15.75" customHeight="1" thickBot="1" x14ac:dyDescent="0.3">
      <c r="A34" s="130"/>
      <c r="B34" s="131"/>
      <c r="C34" s="204"/>
      <c r="D34" s="204"/>
      <c r="E34" s="204"/>
      <c r="F34" s="132"/>
      <c r="G34" s="215"/>
      <c r="H34" s="123"/>
    </row>
    <row r="35" spans="1:8" ht="17.25" thickTop="1" thickBot="1" x14ac:dyDescent="0.3">
      <c r="A35" s="141" t="s">
        <v>14</v>
      </c>
      <c r="B35" s="142"/>
      <c r="C35" s="207">
        <f>SUM(C33:C34)</f>
        <v>8239268</v>
      </c>
      <c r="D35" s="261">
        <f>SUM(D33:D34)</f>
        <v>826564</v>
      </c>
      <c r="E35" s="207">
        <f>SUM(E33:E34)</f>
        <v>951854</v>
      </c>
      <c r="F35" s="269">
        <f>(+D35-E35)/E35</f>
        <v>-0.13162732940135777</v>
      </c>
      <c r="G35" s="267">
        <f>D35/C35</f>
        <v>0.1003200769777121</v>
      </c>
      <c r="H35" s="123"/>
    </row>
    <row r="36" spans="1:8" ht="15.75" customHeight="1" thickTop="1" x14ac:dyDescent="0.25">
      <c r="A36" s="130"/>
      <c r="B36" s="139"/>
      <c r="C36" s="205"/>
      <c r="D36" s="205"/>
      <c r="E36" s="205"/>
      <c r="F36" s="140"/>
      <c r="G36" s="216"/>
      <c r="H36" s="123"/>
    </row>
    <row r="37" spans="1:8" ht="15.75" x14ac:dyDescent="0.25">
      <c r="A37" s="130" t="s">
        <v>69</v>
      </c>
      <c r="B37" s="131">
        <f>DATE(2023,7,1)</f>
        <v>45108</v>
      </c>
      <c r="C37" s="204">
        <v>6583612</v>
      </c>
      <c r="D37" s="204">
        <v>1705016.95</v>
      </c>
      <c r="E37" s="204">
        <v>1405783</v>
      </c>
      <c r="F37" s="132">
        <f>(+D37-E37)/E37</f>
        <v>0.21285927486674683</v>
      </c>
      <c r="G37" s="215">
        <f>D37/C37</f>
        <v>0.25897895410604393</v>
      </c>
      <c r="H37" s="123"/>
    </row>
    <row r="38" spans="1:8" ht="15.75" customHeight="1" thickBot="1" x14ac:dyDescent="0.3">
      <c r="A38" s="130"/>
      <c r="B38" s="131"/>
      <c r="C38" s="204"/>
      <c r="D38" s="204"/>
      <c r="E38" s="204"/>
      <c r="F38" s="132"/>
      <c r="G38" s="215"/>
      <c r="H38" s="123"/>
    </row>
    <row r="39" spans="1:8" ht="17.25" thickTop="1" thickBot="1" x14ac:dyDescent="0.3">
      <c r="A39" s="141" t="s">
        <v>14</v>
      </c>
      <c r="B39" s="142"/>
      <c r="C39" s="206">
        <f>SUM(C37:C38)</f>
        <v>6583612</v>
      </c>
      <c r="D39" s="206">
        <f>SUM(D37:D38)</f>
        <v>1705016.95</v>
      </c>
      <c r="E39" s="206">
        <f>SUM(E37:E38)</f>
        <v>1405783</v>
      </c>
      <c r="F39" s="143">
        <f>(+D39-E39)/E39</f>
        <v>0.21285927486674683</v>
      </c>
      <c r="G39" s="217">
        <f>D39/C39</f>
        <v>0.25897895410604393</v>
      </c>
      <c r="H39" s="123"/>
    </row>
    <row r="40" spans="1:8" ht="15.75" customHeight="1" thickTop="1" x14ac:dyDescent="0.25">
      <c r="A40" s="138"/>
      <c r="B40" s="139"/>
      <c r="C40" s="205"/>
      <c r="D40" s="205"/>
      <c r="E40" s="205"/>
      <c r="F40" s="140"/>
      <c r="G40" s="216"/>
      <c r="H40" s="123"/>
    </row>
    <row r="41" spans="1:8" ht="15.75" x14ac:dyDescent="0.25">
      <c r="A41" s="130" t="s">
        <v>16</v>
      </c>
      <c r="B41" s="131">
        <f>DATE(2023,7,1)</f>
        <v>45108</v>
      </c>
      <c r="C41" s="204">
        <v>10870339</v>
      </c>
      <c r="D41" s="204">
        <v>2105009.5</v>
      </c>
      <c r="E41" s="204">
        <v>2289729.5</v>
      </c>
      <c r="F41" s="132">
        <f>(+D41-E41)/E41</f>
        <v>-8.0673284770100578E-2</v>
      </c>
      <c r="G41" s="215">
        <f>D41/C41</f>
        <v>0.1936470886510531</v>
      </c>
      <c r="H41" s="123"/>
    </row>
    <row r="42" spans="1:8" ht="15.75" customHeight="1" thickBot="1" x14ac:dyDescent="0.3">
      <c r="A42" s="130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6">
        <f>SUM(C41:C42)</f>
        <v>10870339</v>
      </c>
      <c r="D43" s="206">
        <f>SUM(D41:D42)</f>
        <v>2105009.5</v>
      </c>
      <c r="E43" s="206">
        <f>SUM(E41:E42)</f>
        <v>2289729.5</v>
      </c>
      <c r="F43" s="143">
        <f>(+D43-E43)/E43</f>
        <v>-8.0673284770100578E-2</v>
      </c>
      <c r="G43" s="217">
        <f>D43/C43</f>
        <v>0.1936470886510531</v>
      </c>
      <c r="H43" s="123"/>
    </row>
    <row r="44" spans="1:8" ht="15.75" customHeight="1" thickTop="1" x14ac:dyDescent="0.25">
      <c r="A44" s="138"/>
      <c r="B44" s="139"/>
      <c r="C44" s="205"/>
      <c r="D44" s="205"/>
      <c r="E44" s="205"/>
      <c r="F44" s="140"/>
      <c r="G44" s="216"/>
      <c r="H44" s="123"/>
    </row>
    <row r="45" spans="1:8" ht="15.75" x14ac:dyDescent="0.25">
      <c r="A45" s="130" t="s">
        <v>53</v>
      </c>
      <c r="B45" s="131">
        <f>DATE(2023,7,1)</f>
        <v>45108</v>
      </c>
      <c r="C45" s="204">
        <v>14493632</v>
      </c>
      <c r="D45" s="204">
        <v>2697018.32</v>
      </c>
      <c r="E45" s="204">
        <v>2740415.54</v>
      </c>
      <c r="F45" s="132">
        <f>(+D45-E45)/E45</f>
        <v>-1.5835999820669609E-2</v>
      </c>
      <c r="G45" s="215">
        <f>D45/C45</f>
        <v>0.18608298596238679</v>
      </c>
      <c r="H45" s="123"/>
    </row>
    <row r="46" spans="1:8" ht="15.75" thickBot="1" x14ac:dyDescent="0.25">
      <c r="A46" s="133"/>
      <c r="B46" s="131"/>
      <c r="C46" s="204"/>
      <c r="D46" s="204"/>
      <c r="E46" s="204"/>
      <c r="F46" s="132"/>
      <c r="G46" s="215"/>
      <c r="H46" s="123"/>
    </row>
    <row r="47" spans="1:8" ht="17.25" thickTop="1" thickBot="1" x14ac:dyDescent="0.3">
      <c r="A47" s="141" t="s">
        <v>14</v>
      </c>
      <c r="B47" s="142"/>
      <c r="C47" s="207">
        <f>SUM(C45:C46)</f>
        <v>14493632</v>
      </c>
      <c r="D47" s="207">
        <f>SUM(D45:D46)</f>
        <v>2697018.32</v>
      </c>
      <c r="E47" s="207">
        <f>SUM(E45:E46)</f>
        <v>2740415.54</v>
      </c>
      <c r="F47" s="143">
        <f>(+D47-E47)/E47</f>
        <v>-1.5835999820669609E-2</v>
      </c>
      <c r="G47" s="267">
        <f>D47/C47</f>
        <v>0.18608298596238679</v>
      </c>
      <c r="H47" s="123"/>
    </row>
    <row r="48" spans="1:8" ht="15.75" customHeight="1" thickTop="1" x14ac:dyDescent="0.25">
      <c r="A48" s="138"/>
      <c r="B48" s="139"/>
      <c r="C48" s="205"/>
      <c r="D48" s="205"/>
      <c r="E48" s="205"/>
      <c r="F48" s="140"/>
      <c r="G48" s="219"/>
      <c r="H48" s="123"/>
    </row>
    <row r="49" spans="1:8" ht="15.75" x14ac:dyDescent="0.25">
      <c r="A49" s="130" t="s">
        <v>54</v>
      </c>
      <c r="B49" s="131">
        <f>DATE(2023,7,1)</f>
        <v>45108</v>
      </c>
      <c r="C49" s="204">
        <v>199161</v>
      </c>
      <c r="D49" s="204">
        <v>54168.5</v>
      </c>
      <c r="E49" s="204">
        <v>33672.5</v>
      </c>
      <c r="F49" s="132">
        <f>(+D49-E49)/E49</f>
        <v>0.60868661370554611</v>
      </c>
      <c r="G49" s="215">
        <f>D49/C49</f>
        <v>0.27198347065941625</v>
      </c>
      <c r="H49" s="123"/>
    </row>
    <row r="50" spans="1:8" ht="15.75" thickBot="1" x14ac:dyDescent="0.25">
      <c r="A50" s="133"/>
      <c r="B50" s="134"/>
      <c r="C50" s="204"/>
      <c r="D50" s="204"/>
      <c r="E50" s="204"/>
      <c r="F50" s="132"/>
      <c r="G50" s="215"/>
      <c r="H50" s="123"/>
    </row>
    <row r="51" spans="1:8" ht="17.25" thickTop="1" thickBot="1" x14ac:dyDescent="0.3">
      <c r="A51" s="144" t="s">
        <v>14</v>
      </c>
      <c r="B51" s="145"/>
      <c r="C51" s="207">
        <f>SUM(C49:C50)</f>
        <v>199161</v>
      </c>
      <c r="D51" s="207">
        <f>SUM(D49:D50)</f>
        <v>54168.5</v>
      </c>
      <c r="E51" s="207">
        <f>SUM(E49:E50)</f>
        <v>33672.5</v>
      </c>
      <c r="F51" s="143">
        <f>(+D51-E51)/E51</f>
        <v>0.60868661370554611</v>
      </c>
      <c r="G51" s="217">
        <f>D51/C51</f>
        <v>0.27198347065941625</v>
      </c>
      <c r="H51" s="123"/>
    </row>
    <row r="52" spans="1:8" ht="15.75" customHeight="1" thickTop="1" x14ac:dyDescent="0.25">
      <c r="A52" s="130"/>
      <c r="B52" s="134"/>
      <c r="C52" s="204"/>
      <c r="D52" s="204"/>
      <c r="E52" s="204"/>
      <c r="F52" s="132"/>
      <c r="G52" s="218"/>
      <c r="H52" s="123"/>
    </row>
    <row r="53" spans="1:8" ht="15.75" x14ac:dyDescent="0.25">
      <c r="A53" s="130" t="s">
        <v>37</v>
      </c>
      <c r="B53" s="131">
        <f>DATE(2023,7,1)</f>
        <v>45108</v>
      </c>
      <c r="C53" s="204">
        <v>20709504</v>
      </c>
      <c r="D53" s="204">
        <v>4690230.88</v>
      </c>
      <c r="E53" s="204">
        <v>4747644.93</v>
      </c>
      <c r="F53" s="132">
        <f>(+D53-E53)/E53</f>
        <v>-1.2093164262812681E-2</v>
      </c>
      <c r="G53" s="215">
        <f>D53/C53</f>
        <v>0.22647721934817946</v>
      </c>
      <c r="H53" s="123"/>
    </row>
    <row r="54" spans="1:8" ht="15.75" thickBot="1" x14ac:dyDescent="0.25">
      <c r="A54" s="133"/>
      <c r="B54" s="134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6">
        <f>SUM(C53:C54)</f>
        <v>20709504</v>
      </c>
      <c r="D55" s="207">
        <f>SUM(D53:D54)</f>
        <v>4690230.88</v>
      </c>
      <c r="E55" s="206">
        <f>SUM(E53:E54)</f>
        <v>4747644.93</v>
      </c>
      <c r="F55" s="143">
        <f>(+D55-E55)/E55</f>
        <v>-1.2093164262812681E-2</v>
      </c>
      <c r="G55" s="217">
        <f>D55/C55</f>
        <v>0.22647721934817946</v>
      </c>
      <c r="H55" s="123"/>
    </row>
    <row r="56" spans="1:8" ht="15.75" customHeight="1" thickTop="1" x14ac:dyDescent="0.25">
      <c r="A56" s="130"/>
      <c r="B56" s="134"/>
      <c r="C56" s="204"/>
      <c r="D56" s="204"/>
      <c r="E56" s="204"/>
      <c r="F56" s="132"/>
      <c r="G56" s="218"/>
      <c r="H56" s="123"/>
    </row>
    <row r="57" spans="1:8" ht="15.75" x14ac:dyDescent="0.25">
      <c r="A57" s="130" t="s">
        <v>57</v>
      </c>
      <c r="B57" s="131">
        <f>DATE(2023,7,1)</f>
        <v>45108</v>
      </c>
      <c r="C57" s="204">
        <v>667022</v>
      </c>
      <c r="D57" s="204">
        <v>167507.5</v>
      </c>
      <c r="E57" s="204">
        <v>196833</v>
      </c>
      <c r="F57" s="132">
        <f>(+D57-E57)/E57</f>
        <v>-0.14898670446520654</v>
      </c>
      <c r="G57" s="215">
        <f>D57/C57</f>
        <v>0.25112739909628168</v>
      </c>
      <c r="H57" s="123"/>
    </row>
    <row r="58" spans="1:8" ht="15.75" thickBot="1" x14ac:dyDescent="0.25">
      <c r="A58" s="133"/>
      <c r="B58" s="134"/>
      <c r="C58" s="204"/>
      <c r="D58" s="204"/>
      <c r="E58" s="204"/>
      <c r="F58" s="132"/>
      <c r="G58" s="215"/>
      <c r="H58" s="123"/>
    </row>
    <row r="59" spans="1:8" ht="17.25" thickTop="1" thickBot="1" x14ac:dyDescent="0.3">
      <c r="A59" s="135" t="s">
        <v>14</v>
      </c>
      <c r="B59" s="136"/>
      <c r="C59" s="201">
        <f>SUM(C57:C58)</f>
        <v>667022</v>
      </c>
      <c r="D59" s="207">
        <f>SUM(D57:D58)</f>
        <v>167507.5</v>
      </c>
      <c r="E59" s="207">
        <f>SUM(E57:E58)</f>
        <v>196833</v>
      </c>
      <c r="F59" s="143">
        <f>(+D59-E59)/E59</f>
        <v>-0.14898670446520654</v>
      </c>
      <c r="G59" s="217">
        <f>D59/C59</f>
        <v>0.25112739909628168</v>
      </c>
      <c r="H59" s="123"/>
    </row>
    <row r="60" spans="1:8" ht="16.5" thickTop="1" thickBot="1" x14ac:dyDescent="0.25">
      <c r="A60" s="146"/>
      <c r="B60" s="139"/>
      <c r="C60" s="205"/>
      <c r="D60" s="205"/>
      <c r="E60" s="205"/>
      <c r="F60" s="140"/>
      <c r="G60" s="216"/>
      <c r="H60" s="123"/>
    </row>
    <row r="61" spans="1:8" ht="17.25" thickTop="1" thickBot="1" x14ac:dyDescent="0.3">
      <c r="A61" s="147" t="s">
        <v>38</v>
      </c>
      <c r="B61" s="121"/>
      <c r="C61" s="201">
        <f>C59+C55+C43+C35+C27+C19+C11+C23+C51+C15+C39+C47+C31</f>
        <v>116425304</v>
      </c>
      <c r="D61" s="201">
        <f>D59+D55+D43+D35+D27+D19+D11+D23+D51+D15+D39+D47+D31</f>
        <v>23603077.149999999</v>
      </c>
      <c r="E61" s="201">
        <f>E59+E55+E43+E35+E27+E19+E11+E23+E51+E15+E39+E47+E31</f>
        <v>23557879.969999999</v>
      </c>
      <c r="F61" s="137">
        <f>(+D61-E61)/E61</f>
        <v>1.9185588880475013E-3</v>
      </c>
      <c r="G61" s="212">
        <f>D61/C61</f>
        <v>0.20273150542943824</v>
      </c>
      <c r="H61" s="123"/>
    </row>
    <row r="62" spans="1:8" ht="17.25" thickTop="1" thickBot="1" x14ac:dyDescent="0.3">
      <c r="A62" s="147"/>
      <c r="B62" s="121"/>
      <c r="C62" s="201"/>
      <c r="D62" s="201"/>
      <c r="E62" s="201"/>
      <c r="F62" s="137"/>
      <c r="G62" s="212"/>
      <c r="H62" s="123"/>
    </row>
    <row r="63" spans="1:8" ht="17.25" thickTop="1" thickBot="1" x14ac:dyDescent="0.3">
      <c r="A63" s="265" t="s">
        <v>39</v>
      </c>
      <c r="B63" s="266"/>
      <c r="C63" s="206">
        <f>+C9+C13+C17+C21+C25+C29+C33+C37+C41+C45+C49+C53+C57</f>
        <v>116425304</v>
      </c>
      <c r="D63" s="206">
        <f>+D9+D13+D17+D21+D25+D29+D33+D37+D41+D45+D49+D53+D57</f>
        <v>23603077.149999999</v>
      </c>
      <c r="E63" s="206">
        <f>+E9+E13+E17+E21+E25+E29+E33+E37+E41+E45+E49+E53+E57</f>
        <v>23557879.969999999</v>
      </c>
      <c r="F63" s="268">
        <f>(+D63-E63)/E63</f>
        <v>1.9185588880475013E-3</v>
      </c>
      <c r="G63" s="217">
        <f>D63/C63</f>
        <v>0.20273150542943824</v>
      </c>
      <c r="H63" s="123"/>
    </row>
    <row r="64" spans="1:8" ht="16.5" thickTop="1" x14ac:dyDescent="0.25">
      <c r="A64" s="256"/>
      <c r="B64" s="258"/>
      <c r="C64" s="259"/>
      <c r="D64" s="259"/>
      <c r="E64" s="259"/>
      <c r="F64" s="260"/>
      <c r="G64" s="257"/>
      <c r="H64" s="257"/>
    </row>
    <row r="65" spans="1:7" ht="18.75" x14ac:dyDescent="0.3">
      <c r="A65" s="263" t="s">
        <v>40</v>
      </c>
      <c r="B65" s="117"/>
      <c r="C65" s="208"/>
      <c r="D65" s="208"/>
      <c r="E65" s="208"/>
      <c r="F65" s="148"/>
      <c r="G65" s="220"/>
    </row>
    <row r="66" spans="1:7" ht="15.75" x14ac:dyDescent="0.25">
      <c r="A66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thickBot="1" x14ac:dyDescent="0.25">
      <c r="A11" s="167"/>
      <c r="B11" s="168"/>
      <c r="C11" s="226"/>
      <c r="D11" s="226"/>
      <c r="E11" s="226"/>
      <c r="F11" s="166"/>
      <c r="G11" s="241"/>
      <c r="H11" s="242"/>
    </row>
    <row r="12" spans="1:8" ht="17.25" thickTop="1" thickBot="1" x14ac:dyDescent="0.3">
      <c r="A12" s="169" t="s">
        <v>14</v>
      </c>
      <c r="B12" s="155"/>
      <c r="C12" s="223">
        <f>SUM(C10:C11)</f>
        <v>0</v>
      </c>
      <c r="D12" s="223">
        <f>SUM(D10:D11)</f>
        <v>0</v>
      </c>
      <c r="E12" s="223">
        <f>SUM(E10:E11)</f>
        <v>120141.72</v>
      </c>
      <c r="F12" s="176">
        <f>+(D12-E12)/E12</f>
        <v>-1</v>
      </c>
      <c r="G12" s="245">
        <v>0</v>
      </c>
      <c r="H12" s="246">
        <v>0</v>
      </c>
    </row>
    <row r="13" spans="1:8" ht="15.75" thickTop="1" x14ac:dyDescent="0.2">
      <c r="A13" s="171"/>
      <c r="B13" s="172"/>
      <c r="C13" s="227"/>
      <c r="D13" s="227"/>
      <c r="E13" s="227"/>
      <c r="F13" s="173"/>
      <c r="G13" s="243"/>
      <c r="H13" s="244"/>
    </row>
    <row r="14" spans="1:8" ht="15.75" x14ac:dyDescent="0.25">
      <c r="A14" s="19" t="s">
        <v>48</v>
      </c>
      <c r="B14" s="165">
        <f>DATE(23,7,1)</f>
        <v>8583</v>
      </c>
      <c r="C14" s="226">
        <v>0</v>
      </c>
      <c r="D14" s="226">
        <v>0</v>
      </c>
      <c r="E14" s="226">
        <v>0</v>
      </c>
      <c r="F14" s="166">
        <v>0</v>
      </c>
      <c r="G14" s="241">
        <v>0</v>
      </c>
      <c r="H14" s="242">
        <v>0</v>
      </c>
    </row>
    <row r="15" spans="1:8" ht="15.75" thickBot="1" x14ac:dyDescent="0.25">
      <c r="A15" s="167"/>
      <c r="B15" s="165"/>
      <c r="C15" s="226"/>
      <c r="D15" s="226"/>
      <c r="E15" s="226"/>
      <c r="F15" s="166"/>
      <c r="G15" s="241"/>
      <c r="H15" s="242"/>
    </row>
    <row r="16" spans="1:8" ht="17.25" thickTop="1" thickBot="1" x14ac:dyDescent="0.3">
      <c r="A16" s="169" t="s">
        <v>14</v>
      </c>
      <c r="B16" s="155"/>
      <c r="C16" s="223">
        <f>SUM(C14:C15)</f>
        <v>0</v>
      </c>
      <c r="D16" s="223">
        <f>SUM(D14:D15)</f>
        <v>0</v>
      </c>
      <c r="E16" s="223">
        <f>SUM(E14:E15)</f>
        <v>0</v>
      </c>
      <c r="F16" s="170">
        <v>0</v>
      </c>
      <c r="G16" s="236">
        <v>0</v>
      </c>
      <c r="H16" s="237">
        <v>0</v>
      </c>
    </row>
    <row r="17" spans="1:8" ht="15.75" thickTop="1" x14ac:dyDescent="0.2">
      <c r="A17" s="171"/>
      <c r="B17" s="172"/>
      <c r="C17" s="227"/>
      <c r="D17" s="227"/>
      <c r="E17" s="227"/>
      <c r="F17" s="173"/>
      <c r="G17" s="243"/>
      <c r="H17" s="244"/>
    </row>
    <row r="18" spans="1:8" ht="15.75" x14ac:dyDescent="0.25">
      <c r="A18" s="19" t="s">
        <v>62</v>
      </c>
      <c r="B18" s="165">
        <f>DATE(23,7,1)</f>
        <v>8583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thickBot="1" x14ac:dyDescent="0.25">
      <c r="A19" s="167"/>
      <c r="B19" s="165"/>
      <c r="C19" s="226"/>
      <c r="D19" s="226"/>
      <c r="E19" s="226"/>
      <c r="F19" s="166"/>
      <c r="G19" s="241"/>
      <c r="H19" s="242"/>
    </row>
    <row r="20" spans="1:8" ht="17.25" thickTop="1" thickBot="1" x14ac:dyDescent="0.3">
      <c r="A20" s="174" t="s">
        <v>14</v>
      </c>
      <c r="B20" s="175"/>
      <c r="C20" s="228">
        <f>SUM(C18:C19)</f>
        <v>0</v>
      </c>
      <c r="D20" s="228">
        <f>SUM(D18:D19)</f>
        <v>0</v>
      </c>
      <c r="E20" s="228">
        <f>SUM(E18:E19)</f>
        <v>0</v>
      </c>
      <c r="F20" s="176">
        <v>0</v>
      </c>
      <c r="G20" s="245">
        <v>0</v>
      </c>
      <c r="H20" s="246">
        <v>0</v>
      </c>
    </row>
    <row r="21" spans="1:8" ht="15.75" thickTop="1" x14ac:dyDescent="0.2">
      <c r="A21" s="167"/>
      <c r="B21" s="168"/>
      <c r="C21" s="226"/>
      <c r="D21" s="226"/>
      <c r="E21" s="226"/>
      <c r="F21" s="166"/>
      <c r="G21" s="241"/>
      <c r="H21" s="242"/>
    </row>
    <row r="22" spans="1:8" ht="15.75" x14ac:dyDescent="0.25">
      <c r="A22" s="177" t="s">
        <v>58</v>
      </c>
      <c r="B22" s="165">
        <f>DATE(23,7,1)</f>
        <v>8583</v>
      </c>
      <c r="C22" s="226">
        <v>0</v>
      </c>
      <c r="D22" s="226">
        <v>0</v>
      </c>
      <c r="E22" s="226">
        <v>133555.04</v>
      </c>
      <c r="F22" s="166">
        <v>-1</v>
      </c>
      <c r="G22" s="241">
        <v>0</v>
      </c>
      <c r="H22" s="289">
        <v>0</v>
      </c>
    </row>
    <row r="23" spans="1:8" ht="15.75" thickBot="1" x14ac:dyDescent="0.25">
      <c r="A23" s="167"/>
      <c r="B23" s="168"/>
      <c r="C23" s="226"/>
      <c r="D23" s="226"/>
      <c r="E23" s="226"/>
      <c r="F23" s="166"/>
      <c r="G23" s="241"/>
      <c r="H23" s="242"/>
    </row>
    <row r="24" spans="1:8" ht="17.25" thickTop="1" thickBot="1" x14ac:dyDescent="0.3">
      <c r="A24" s="174" t="s">
        <v>14</v>
      </c>
      <c r="B24" s="178"/>
      <c r="C24" s="228">
        <f>SUM(C22:C23)</f>
        <v>0</v>
      </c>
      <c r="D24" s="228">
        <f>SUM(D22:D23)</f>
        <v>0</v>
      </c>
      <c r="E24" s="228">
        <f>SUM(E22:E23)</f>
        <v>133555.04</v>
      </c>
      <c r="F24" s="176">
        <f>+(D24-E24)/E24</f>
        <v>-1</v>
      </c>
      <c r="G24" s="245">
        <v>0</v>
      </c>
      <c r="H24" s="246">
        <v>0</v>
      </c>
    </row>
    <row r="25" spans="1:8" ht="15.75" thickTop="1" x14ac:dyDescent="0.2">
      <c r="A25" s="167"/>
      <c r="B25" s="168"/>
      <c r="C25" s="226"/>
      <c r="D25" s="226"/>
      <c r="E25" s="226"/>
      <c r="F25" s="166"/>
      <c r="G25" s="241"/>
      <c r="H25" s="242"/>
    </row>
    <row r="26" spans="1:8" ht="15.75" x14ac:dyDescent="0.25">
      <c r="A26" s="164" t="s">
        <v>60</v>
      </c>
      <c r="B26" s="165">
        <f>DATE(23,7,1)</f>
        <v>8583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thickBot="1" x14ac:dyDescent="0.25">
      <c r="A27" s="167"/>
      <c r="B27" s="165"/>
      <c r="C27" s="226"/>
      <c r="D27" s="226"/>
      <c r="E27" s="226"/>
      <c r="F27" s="166"/>
      <c r="G27" s="241"/>
      <c r="H27" s="242"/>
    </row>
    <row r="28" spans="1:8" ht="17.25" thickTop="1" thickBot="1" x14ac:dyDescent="0.3">
      <c r="A28" s="174" t="s">
        <v>14</v>
      </c>
      <c r="B28" s="175"/>
      <c r="C28" s="228">
        <f>SUM(C26:C27)</f>
        <v>0</v>
      </c>
      <c r="D28" s="230">
        <f>SUM(D26:D27)</f>
        <v>0</v>
      </c>
      <c r="E28" s="271">
        <f>SUM(E26:E27)</f>
        <v>0</v>
      </c>
      <c r="F28" s="176">
        <v>0</v>
      </c>
      <c r="G28" s="245">
        <v>0</v>
      </c>
      <c r="H28" s="246">
        <v>0</v>
      </c>
    </row>
    <row r="29" spans="1:8" ht="15.75" thickTop="1" x14ac:dyDescent="0.2">
      <c r="A29" s="167"/>
      <c r="B29" s="168"/>
      <c r="C29" s="226"/>
      <c r="D29" s="226"/>
      <c r="E29" s="226"/>
      <c r="F29" s="166"/>
      <c r="G29" s="241"/>
      <c r="H29" s="242"/>
    </row>
    <row r="30" spans="1:8" ht="15.75" x14ac:dyDescent="0.25">
      <c r="A30" s="164" t="s">
        <v>64</v>
      </c>
      <c r="B30" s="165">
        <f>DATE(23,7,1)</f>
        <v>8583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thickBot="1" x14ac:dyDescent="0.25">
      <c r="A31" s="167"/>
      <c r="B31" s="165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74" t="s">
        <v>14</v>
      </c>
      <c r="B32" s="175"/>
      <c r="C32" s="228">
        <f>SUM(C30:C31)</f>
        <v>0</v>
      </c>
      <c r="D32" s="230">
        <f>SUM(D30:D31)</f>
        <v>0</v>
      </c>
      <c r="E32" s="271">
        <f>SUM(E30:E31)</f>
        <v>0</v>
      </c>
      <c r="F32" s="176">
        <v>0</v>
      </c>
      <c r="G32" s="245">
        <v>0</v>
      </c>
      <c r="H32" s="246">
        <v>0</v>
      </c>
    </row>
    <row r="33" spans="1:8" ht="15.75" thickTop="1" x14ac:dyDescent="0.2">
      <c r="A33" s="167"/>
      <c r="B33" s="168"/>
      <c r="C33" s="226"/>
      <c r="D33" s="226"/>
      <c r="E33" s="226"/>
      <c r="F33" s="166"/>
      <c r="G33" s="241"/>
      <c r="H33" s="242"/>
    </row>
    <row r="34" spans="1:8" ht="15.75" x14ac:dyDescent="0.25">
      <c r="A34" s="164" t="s">
        <v>67</v>
      </c>
      <c r="B34" s="165">
        <f>DATE(23,7,1)</f>
        <v>8583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thickBot="1" x14ac:dyDescent="0.25">
      <c r="A35" s="167"/>
      <c r="B35" s="165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74" t="s">
        <v>14</v>
      </c>
      <c r="B36" s="175"/>
      <c r="C36" s="228">
        <f>SUM(C34:C35)</f>
        <v>0</v>
      </c>
      <c r="D36" s="230">
        <f>SUM(D34:D35)</f>
        <v>0</v>
      </c>
      <c r="E36" s="271">
        <f>SUM(E34:E35)</f>
        <v>0</v>
      </c>
      <c r="F36" s="176">
        <v>0</v>
      </c>
      <c r="G36" s="245">
        <v>0</v>
      </c>
      <c r="H36" s="246">
        <v>0</v>
      </c>
    </row>
    <row r="37" spans="1:8" ht="15.75" thickTop="1" x14ac:dyDescent="0.2">
      <c r="A37" s="167"/>
      <c r="B37" s="168"/>
      <c r="C37" s="226"/>
      <c r="D37" s="226"/>
      <c r="E37" s="226"/>
      <c r="F37" s="166"/>
      <c r="G37" s="241"/>
      <c r="H37" s="242"/>
    </row>
    <row r="38" spans="1:8" ht="15.75" x14ac:dyDescent="0.25">
      <c r="A38" s="164" t="s">
        <v>69</v>
      </c>
      <c r="B38" s="165">
        <f>DATE(23,7,1)</f>
        <v>8583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thickBot="1" x14ac:dyDescent="0.25">
      <c r="A39" s="167"/>
      <c r="B39" s="165"/>
      <c r="C39" s="226"/>
      <c r="D39" s="226"/>
      <c r="E39" s="226"/>
      <c r="F39" s="166"/>
      <c r="G39" s="241"/>
      <c r="H39" s="242"/>
    </row>
    <row r="40" spans="1:8" ht="17.25" thickTop="1" thickBot="1" x14ac:dyDescent="0.3">
      <c r="A40" s="174" t="s">
        <v>14</v>
      </c>
      <c r="B40" s="175"/>
      <c r="C40" s="228">
        <f>SUM(C38:C39)</f>
        <v>0</v>
      </c>
      <c r="D40" s="230">
        <f>SUM(D38:D39)</f>
        <v>0</v>
      </c>
      <c r="E40" s="271">
        <f>SUM(E38:E39)</f>
        <v>0</v>
      </c>
      <c r="F40" s="176">
        <v>0</v>
      </c>
      <c r="G40" s="249">
        <v>0</v>
      </c>
      <c r="H40" s="270">
        <v>0</v>
      </c>
    </row>
    <row r="41" spans="1:8" ht="15.75" thickTop="1" x14ac:dyDescent="0.2">
      <c r="A41" s="167"/>
      <c r="B41" s="179"/>
      <c r="C41" s="229"/>
      <c r="D41" s="229"/>
      <c r="E41" s="229"/>
      <c r="F41" s="180"/>
      <c r="G41" s="247"/>
      <c r="H41" s="248"/>
    </row>
    <row r="42" spans="1:8" ht="15.75" x14ac:dyDescent="0.25">
      <c r="A42" s="164" t="s">
        <v>16</v>
      </c>
      <c r="B42" s="165">
        <f>DATE(23,7,1)</f>
        <v>8583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6.5" thickBot="1" x14ac:dyDescent="0.3">
      <c r="A43" s="164"/>
      <c r="B43" s="165"/>
      <c r="C43" s="226"/>
      <c r="D43" s="226"/>
      <c r="E43" s="226"/>
      <c r="F43" s="166"/>
      <c r="G43" s="241"/>
      <c r="H43" s="242"/>
    </row>
    <row r="44" spans="1:8" ht="17.25" thickTop="1" thickBot="1" x14ac:dyDescent="0.3">
      <c r="A44" s="174" t="s">
        <v>14</v>
      </c>
      <c r="B44" s="181"/>
      <c r="C44" s="228">
        <f>SUM(C42:C43)</f>
        <v>0</v>
      </c>
      <c r="D44" s="228">
        <f>SUM(D42:D43)</f>
        <v>0</v>
      </c>
      <c r="E44" s="228">
        <f>SUM(E42:E43)</f>
        <v>0</v>
      </c>
      <c r="F44" s="176">
        <v>0</v>
      </c>
      <c r="G44" s="245">
        <v>0</v>
      </c>
      <c r="H44" s="246">
        <v>0</v>
      </c>
    </row>
    <row r="45" spans="1:8" ht="15.75" thickTop="1" x14ac:dyDescent="0.2">
      <c r="A45" s="171"/>
      <c r="B45" s="172"/>
      <c r="C45" s="227"/>
      <c r="D45" s="227"/>
      <c r="E45" s="227"/>
      <c r="F45" s="173"/>
      <c r="G45" s="243"/>
      <c r="H45" s="244"/>
    </row>
    <row r="46" spans="1:8" ht="15.75" x14ac:dyDescent="0.25">
      <c r="A46" s="164" t="s">
        <v>53</v>
      </c>
      <c r="B46" s="165">
        <f>DATE(23,7,1)</f>
        <v>8583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thickBot="1" x14ac:dyDescent="0.25">
      <c r="A47" s="167"/>
      <c r="B47" s="168"/>
      <c r="C47" s="226"/>
      <c r="D47" s="226"/>
      <c r="E47" s="226"/>
      <c r="F47" s="166"/>
      <c r="G47" s="241"/>
      <c r="H47" s="242"/>
    </row>
    <row r="48" spans="1:8" ht="17.25" thickTop="1" thickBot="1" x14ac:dyDescent="0.3">
      <c r="A48" s="174" t="s">
        <v>14</v>
      </c>
      <c r="B48" s="175"/>
      <c r="C48" s="228">
        <f>SUM(C46:C47)</f>
        <v>0</v>
      </c>
      <c r="D48" s="228">
        <f>SUM(D46:D47)</f>
        <v>0</v>
      </c>
      <c r="E48" s="228">
        <f>SUM(E46:E47)</f>
        <v>0</v>
      </c>
      <c r="F48" s="176">
        <v>0</v>
      </c>
      <c r="G48" s="245">
        <v>0</v>
      </c>
      <c r="H48" s="246">
        <v>0</v>
      </c>
    </row>
    <row r="49" spans="1:8" ht="15.75" thickTop="1" x14ac:dyDescent="0.2">
      <c r="A49" s="167"/>
      <c r="B49" s="168"/>
      <c r="C49" s="226"/>
      <c r="D49" s="226"/>
      <c r="E49" s="226"/>
      <c r="F49" s="166"/>
      <c r="G49" s="241"/>
      <c r="H49" s="242"/>
    </row>
    <row r="50" spans="1:8" ht="15.75" x14ac:dyDescent="0.25">
      <c r="A50" s="164" t="s">
        <v>54</v>
      </c>
      <c r="B50" s="165">
        <f>DATE(23,7,1)</f>
        <v>8583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thickBot="1" x14ac:dyDescent="0.25">
      <c r="A51" s="167"/>
      <c r="B51" s="168"/>
      <c r="C51" s="226"/>
      <c r="D51" s="226"/>
      <c r="E51" s="226"/>
      <c r="F51" s="166"/>
      <c r="G51" s="241"/>
      <c r="H51" s="242"/>
    </row>
    <row r="52" spans="1:8" ht="17.25" thickTop="1" thickBot="1" x14ac:dyDescent="0.3">
      <c r="A52" s="182" t="s">
        <v>14</v>
      </c>
      <c r="B52" s="183"/>
      <c r="C52" s="230">
        <f>SUM(C50:C51)</f>
        <v>0</v>
      </c>
      <c r="D52" s="230">
        <f>SUM(D50:D51)</f>
        <v>0</v>
      </c>
      <c r="E52" s="230">
        <f>SUM(E50:E51)</f>
        <v>0</v>
      </c>
      <c r="F52" s="176">
        <v>0</v>
      </c>
      <c r="G52" s="245">
        <v>0</v>
      </c>
      <c r="H52" s="246">
        <v>0</v>
      </c>
    </row>
    <row r="53" spans="1:8" ht="15.75" thickTop="1" x14ac:dyDescent="0.2">
      <c r="A53" s="167"/>
      <c r="B53" s="168"/>
      <c r="C53" s="226"/>
      <c r="D53" s="226"/>
      <c r="E53" s="226"/>
      <c r="F53" s="166"/>
      <c r="G53" s="241"/>
      <c r="H53" s="242"/>
    </row>
    <row r="54" spans="1:8" ht="15.75" x14ac:dyDescent="0.25">
      <c r="A54" s="164" t="s">
        <v>37</v>
      </c>
      <c r="B54" s="165">
        <f>DATE(23,7,1)</f>
        <v>8583</v>
      </c>
      <c r="C54" s="226">
        <v>3921585</v>
      </c>
      <c r="D54" s="226">
        <v>179389.2</v>
      </c>
      <c r="E54" s="226">
        <v>215844.68</v>
      </c>
      <c r="F54" s="166">
        <f>+(D54-E54)/E54</f>
        <v>-0.16889681969460624</v>
      </c>
      <c r="G54" s="241">
        <f>+D54/C54</f>
        <v>4.5744055018570304E-2</v>
      </c>
      <c r="H54" s="289">
        <f>1-G54</f>
        <v>0.95425594498142974</v>
      </c>
    </row>
    <row r="55" spans="1:8" ht="15.75" thickBot="1" x14ac:dyDescent="0.25">
      <c r="A55" s="167"/>
      <c r="B55" s="168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5"/>
      <c r="C56" s="228">
        <f>SUM(C54:C55)</f>
        <v>3921585</v>
      </c>
      <c r="D56" s="228">
        <f>SUM(D54:D55)</f>
        <v>179389.2</v>
      </c>
      <c r="E56" s="228">
        <f>SUM(E54:E55)</f>
        <v>215844.68</v>
      </c>
      <c r="F56" s="176">
        <f>+(D56-E56)/E56</f>
        <v>-0.16889681969460624</v>
      </c>
      <c r="G56" s="245">
        <f>+D56/C56</f>
        <v>4.5744055018570304E-2</v>
      </c>
      <c r="H56" s="246">
        <f>1-G56</f>
        <v>0.95425594498142974</v>
      </c>
    </row>
    <row r="57" spans="1:8" ht="15.75" thickTop="1" x14ac:dyDescent="0.2">
      <c r="A57" s="167"/>
      <c r="B57" s="168"/>
      <c r="C57" s="226"/>
      <c r="D57" s="226"/>
      <c r="E57" s="226"/>
      <c r="F57" s="166"/>
      <c r="G57" s="241"/>
      <c r="H57" s="242"/>
    </row>
    <row r="58" spans="1:8" ht="15.75" x14ac:dyDescent="0.25">
      <c r="A58" s="164" t="s">
        <v>57</v>
      </c>
      <c r="B58" s="165">
        <f>DATE(23,7,1)</f>
        <v>8583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thickBot="1" x14ac:dyDescent="0.25">
      <c r="A59" s="167"/>
      <c r="B59" s="168"/>
      <c r="C59" s="226"/>
      <c r="D59" s="226"/>
      <c r="E59" s="226"/>
      <c r="F59" s="166"/>
      <c r="G59" s="241"/>
      <c r="H59" s="242"/>
    </row>
    <row r="60" spans="1:8" ht="17.25" thickTop="1" thickBot="1" x14ac:dyDescent="0.3">
      <c r="A60" s="169" t="s">
        <v>14</v>
      </c>
      <c r="B60" s="155"/>
      <c r="C60" s="223">
        <f>SUM(C58:C59)</f>
        <v>0</v>
      </c>
      <c r="D60" s="223">
        <f>SUM(D58:D59)</f>
        <v>0</v>
      </c>
      <c r="E60" s="223">
        <f>SUM(E58:E59)</f>
        <v>0</v>
      </c>
      <c r="F60" s="176">
        <v>0</v>
      </c>
      <c r="G60" s="245">
        <v>0</v>
      </c>
      <c r="H60" s="246">
        <v>0</v>
      </c>
    </row>
    <row r="61" spans="1:8" ht="16.5" thickTop="1" thickBot="1" x14ac:dyDescent="0.25">
      <c r="A61" s="171"/>
      <c r="B61" s="172"/>
      <c r="C61" s="227"/>
      <c r="D61" s="227"/>
      <c r="E61" s="227"/>
      <c r="F61" s="173"/>
      <c r="G61" s="243"/>
      <c r="H61" s="244"/>
    </row>
    <row r="62" spans="1:8" ht="17.25" thickTop="1" thickBot="1" x14ac:dyDescent="0.3">
      <c r="A62" s="184" t="s">
        <v>38</v>
      </c>
      <c r="B62" s="155"/>
      <c r="C62" s="223">
        <f>C60+C56+C44+C36+C28+C20+C12+C24+C52+C16+C40+C48+C32</f>
        <v>3921585</v>
      </c>
      <c r="D62" s="223">
        <f>D60+D56+D44+D36+D28+D20+D12+D24+D52+D16+D40+D48+D32</f>
        <v>179389.2</v>
      </c>
      <c r="E62" s="223">
        <f>E60+E56+E44+E36+E28+E20+E12+E24+E52+E16+E40+E48+E32</f>
        <v>469541.44000000006</v>
      </c>
      <c r="F62" s="176">
        <f>+(D62-E62)/E62</f>
        <v>-0.61794809846815657</v>
      </c>
      <c r="G62" s="236">
        <f>D62/C62</f>
        <v>4.5744055018570304E-2</v>
      </c>
      <c r="H62" s="237">
        <f>1-G62</f>
        <v>0.95425594498142974</v>
      </c>
    </row>
    <row r="63" spans="1:8" ht="17.25" thickTop="1" thickBot="1" x14ac:dyDescent="0.3">
      <c r="A63" s="184"/>
      <c r="B63" s="155"/>
      <c r="C63" s="223"/>
      <c r="D63" s="223"/>
      <c r="E63" s="223"/>
      <c r="F63" s="170"/>
      <c r="G63" s="236"/>
      <c r="H63" s="237"/>
    </row>
    <row r="64" spans="1:8" ht="17.25" thickTop="1" thickBot="1" x14ac:dyDescent="0.3">
      <c r="A64" s="184" t="s">
        <v>39</v>
      </c>
      <c r="B64" s="155"/>
      <c r="C64" s="223">
        <f>+C10+C14+C18+C22+C26+C30+C34+C38+C42+C46+C50+C54+C58</f>
        <v>3921585</v>
      </c>
      <c r="D64" s="223">
        <f>+D10+D14+D18+D22+D26+D30+D34+D38+D42+D46+D50+D54+D58</f>
        <v>179389.2</v>
      </c>
      <c r="E64" s="223">
        <f>+E10+E14+E18+E22+E26+E30+E34+E38+E42+E46+E50+E54+E58</f>
        <v>469541.44</v>
      </c>
      <c r="F64" s="176">
        <f>+(D64-E64)/E64</f>
        <v>-0.61794809846815646</v>
      </c>
      <c r="G64" s="236">
        <f>D64/C64</f>
        <v>4.5744055018570304E-2</v>
      </c>
      <c r="H64" s="246">
        <f>1-G64</f>
        <v>0.95425594498142974</v>
      </c>
    </row>
    <row r="65" spans="1:8" ht="16.5" thickTop="1" x14ac:dyDescent="0.25">
      <c r="A65" s="185"/>
      <c r="B65" s="186"/>
      <c r="C65" s="231"/>
      <c r="D65" s="231"/>
      <c r="E65" s="231"/>
      <c r="F65" s="187"/>
      <c r="G65" s="250"/>
      <c r="H65" s="250"/>
    </row>
    <row r="66" spans="1:8" ht="18.75" x14ac:dyDescent="0.3">
      <c r="A66" s="188" t="s">
        <v>49</v>
      </c>
      <c r="B66" s="189"/>
      <c r="C66" s="232"/>
      <c r="D66" s="232"/>
      <c r="E66" s="232"/>
      <c r="F66" s="190"/>
      <c r="G66" s="251"/>
      <c r="H66" s="251"/>
    </row>
    <row r="67" spans="1:8" ht="15.75" x14ac:dyDescent="0.25">
      <c r="A67" s="191"/>
      <c r="B67" s="189"/>
      <c r="C67" s="232"/>
      <c r="D67" s="232"/>
      <c r="E67" s="232"/>
      <c r="F67" s="190"/>
      <c r="G67" s="257"/>
      <c r="H67" s="257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8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78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>(+D10-E10)/E10</f>
        <v>-4.915227005321969E-2</v>
      </c>
      <c r="G10" s="241">
        <f>D10/C10</f>
        <v>9.3826436670503097E-2</v>
      </c>
      <c r="H10" s="242">
        <f>1-G10</f>
        <v>0.90617356332949694</v>
      </c>
      <c r="I10" s="157"/>
    </row>
    <row r="11" spans="1:9" ht="15.75" thickBot="1" x14ac:dyDescent="0.25">
      <c r="A11" s="167"/>
      <c r="B11" s="168"/>
      <c r="C11" s="226"/>
      <c r="D11" s="226"/>
      <c r="E11" s="226"/>
      <c r="F11" s="166"/>
      <c r="G11" s="241"/>
      <c r="H11" s="242"/>
      <c r="I11" s="157"/>
    </row>
    <row r="12" spans="1:9" ht="17.25" thickTop="1" thickBot="1" x14ac:dyDescent="0.3">
      <c r="A12" s="169" t="s">
        <v>14</v>
      </c>
      <c r="B12" s="155"/>
      <c r="C12" s="223">
        <f>SUM(C10:C11)</f>
        <v>130294533.33</v>
      </c>
      <c r="D12" s="223">
        <f>SUM(D10:D11)</f>
        <v>12225071.779999999</v>
      </c>
      <c r="E12" s="223">
        <f>SUM(E10:E11)</f>
        <v>12857023.68</v>
      </c>
      <c r="F12" s="170">
        <f>(+D12-E12)/E12</f>
        <v>-4.915227005321969E-2</v>
      </c>
      <c r="G12" s="236">
        <f>D12/C12</f>
        <v>9.3826436670503097E-2</v>
      </c>
      <c r="H12" s="237">
        <f>1-G12</f>
        <v>0.90617356332949694</v>
      </c>
      <c r="I12" s="157"/>
    </row>
    <row r="13" spans="1:9" ht="15.75" thickTop="1" x14ac:dyDescent="0.2">
      <c r="A13" s="171"/>
      <c r="B13" s="172"/>
      <c r="C13" s="227"/>
      <c r="D13" s="227"/>
      <c r="E13" s="227"/>
      <c r="F13" s="173"/>
      <c r="G13" s="243"/>
      <c r="H13" s="244"/>
      <c r="I13" s="157"/>
    </row>
    <row r="14" spans="1:9" ht="15.75" x14ac:dyDescent="0.25">
      <c r="A14" s="19" t="s">
        <v>48</v>
      </c>
      <c r="B14" s="165">
        <f>DATE(23,7,1)</f>
        <v>8583</v>
      </c>
      <c r="C14" s="226">
        <v>75800127.310000002</v>
      </c>
      <c r="D14" s="226">
        <v>7585441.2699999996</v>
      </c>
      <c r="E14" s="226">
        <v>7757914.71</v>
      </c>
      <c r="F14" s="166">
        <f>(+D14-E14)/E14</f>
        <v>-2.2231932993241221E-2</v>
      </c>
      <c r="G14" s="241">
        <f>D14/C14</f>
        <v>0.10007161648921509</v>
      </c>
      <c r="H14" s="242">
        <f>1-G14</f>
        <v>0.89992838351078497</v>
      </c>
      <c r="I14" s="157"/>
    </row>
    <row r="15" spans="1:9" ht="15.75" thickBot="1" x14ac:dyDescent="0.25">
      <c r="A15" s="167"/>
      <c r="B15" s="165"/>
      <c r="C15" s="226"/>
      <c r="D15" s="226"/>
      <c r="E15" s="226"/>
      <c r="F15" s="166"/>
      <c r="G15" s="241"/>
      <c r="H15" s="242"/>
      <c r="I15" s="157"/>
    </row>
    <row r="16" spans="1:9" ht="17.25" thickTop="1" thickBot="1" x14ac:dyDescent="0.3">
      <c r="A16" s="169" t="s">
        <v>14</v>
      </c>
      <c r="B16" s="155"/>
      <c r="C16" s="223">
        <f>SUM(C14:C15)</f>
        <v>75800127.310000002</v>
      </c>
      <c r="D16" s="223">
        <f>SUM(D14:D15)</f>
        <v>7585441.2699999996</v>
      </c>
      <c r="E16" s="223">
        <f>SUM(E14:E15)</f>
        <v>7757914.71</v>
      </c>
      <c r="F16" s="170">
        <f>(+D16-E16)/E16</f>
        <v>-2.2231932993241221E-2</v>
      </c>
      <c r="G16" s="236">
        <f>D16/C16</f>
        <v>0.10007161648921509</v>
      </c>
      <c r="H16" s="237">
        <f>1-G16</f>
        <v>0.89992838351078497</v>
      </c>
      <c r="I16" s="157"/>
    </row>
    <row r="17" spans="1:9" ht="15.75" thickTop="1" x14ac:dyDescent="0.2">
      <c r="A17" s="171"/>
      <c r="B17" s="172"/>
      <c r="C17" s="227"/>
      <c r="D17" s="227"/>
      <c r="E17" s="227"/>
      <c r="F17" s="173"/>
      <c r="G17" s="243"/>
      <c r="H17" s="244"/>
      <c r="I17" s="157"/>
    </row>
    <row r="18" spans="1:9" ht="15.75" x14ac:dyDescent="0.25">
      <c r="A18" s="19" t="s">
        <v>62</v>
      </c>
      <c r="B18" s="165">
        <f>DATE(23,7,1)</f>
        <v>8583</v>
      </c>
      <c r="C18" s="226">
        <v>37126873.899999999</v>
      </c>
      <c r="D18" s="226">
        <v>3728602.99</v>
      </c>
      <c r="E18" s="226">
        <v>3537425.2</v>
      </c>
      <c r="F18" s="166">
        <f>(+D18-E18)/E18</f>
        <v>5.4044334280199065E-2</v>
      </c>
      <c r="G18" s="241">
        <f>D18/C18</f>
        <v>0.10042868139242933</v>
      </c>
      <c r="H18" s="242">
        <f>1-G18</f>
        <v>0.89957131860757067</v>
      </c>
      <c r="I18" s="157"/>
    </row>
    <row r="19" spans="1:9" ht="15.75" thickBot="1" x14ac:dyDescent="0.25">
      <c r="A19" s="167"/>
      <c r="B19" s="165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74" t="s">
        <v>14</v>
      </c>
      <c r="B20" s="175"/>
      <c r="C20" s="228">
        <f>SUM(C18:C19)</f>
        <v>37126873.899999999</v>
      </c>
      <c r="D20" s="228">
        <f>SUM(D18:D19)</f>
        <v>3728602.99</v>
      </c>
      <c r="E20" s="228">
        <f>SUM(E18:E19)</f>
        <v>3537425.2</v>
      </c>
      <c r="F20" s="176">
        <f>(+D20-E20)/E20</f>
        <v>5.4044334280199065E-2</v>
      </c>
      <c r="G20" s="245">
        <f>D20/C20</f>
        <v>0.10042868139242933</v>
      </c>
      <c r="H20" s="246">
        <f>1-G20</f>
        <v>0.89957131860757067</v>
      </c>
      <c r="I20" s="157"/>
    </row>
    <row r="21" spans="1:9" ht="15.75" thickTop="1" x14ac:dyDescent="0.2">
      <c r="A21" s="167"/>
      <c r="B21" s="168"/>
      <c r="C21" s="226"/>
      <c r="D21" s="226"/>
      <c r="E21" s="226"/>
      <c r="F21" s="166"/>
      <c r="G21" s="241"/>
      <c r="H21" s="242"/>
      <c r="I21" s="157"/>
    </row>
    <row r="22" spans="1:9" ht="15.75" x14ac:dyDescent="0.25">
      <c r="A22" s="177" t="s">
        <v>58</v>
      </c>
      <c r="B22" s="165">
        <f>DATE(23,7,1)</f>
        <v>8583</v>
      </c>
      <c r="C22" s="226">
        <v>203652069.36000001</v>
      </c>
      <c r="D22" s="226">
        <v>18456668.579999998</v>
      </c>
      <c r="E22" s="226">
        <v>17880290.199999999</v>
      </c>
      <c r="F22" s="166">
        <f>(+D22-E22)/E22</f>
        <v>3.2235404098754444E-2</v>
      </c>
      <c r="G22" s="241">
        <f>D22/C22</f>
        <v>9.0628436224597153E-2</v>
      </c>
      <c r="H22" s="242">
        <f>1-G22</f>
        <v>0.90937156377540285</v>
      </c>
      <c r="I22" s="157"/>
    </row>
    <row r="23" spans="1:9" ht="15.75" thickBot="1" x14ac:dyDescent="0.25">
      <c r="A23" s="167"/>
      <c r="B23" s="168"/>
      <c r="C23" s="226"/>
      <c r="D23" s="226"/>
      <c r="E23" s="226"/>
      <c r="F23" s="166"/>
      <c r="G23" s="241"/>
      <c r="H23" s="242"/>
      <c r="I23" s="157"/>
    </row>
    <row r="24" spans="1:9" ht="17.25" thickTop="1" thickBot="1" x14ac:dyDescent="0.3">
      <c r="A24" s="174" t="s">
        <v>14</v>
      </c>
      <c r="B24" s="178"/>
      <c r="C24" s="228">
        <f>SUM(C22:C23)</f>
        <v>203652069.36000001</v>
      </c>
      <c r="D24" s="228">
        <f>SUM(D22:D23)</f>
        <v>18456668.579999998</v>
      </c>
      <c r="E24" s="228">
        <f>SUM(E22:E23)</f>
        <v>17880290.199999999</v>
      </c>
      <c r="F24" s="176">
        <f>(+D24-E24)/E24</f>
        <v>3.2235404098754444E-2</v>
      </c>
      <c r="G24" s="245">
        <f>D24/C24</f>
        <v>9.0628436224597153E-2</v>
      </c>
      <c r="H24" s="246">
        <f>1-G24</f>
        <v>0.90937156377540285</v>
      </c>
      <c r="I24" s="157"/>
    </row>
    <row r="25" spans="1:9" ht="15.75" thickTop="1" x14ac:dyDescent="0.2">
      <c r="A25" s="167"/>
      <c r="B25" s="168"/>
      <c r="C25" s="226"/>
      <c r="D25" s="226"/>
      <c r="E25" s="226"/>
      <c r="F25" s="166"/>
      <c r="G25" s="241"/>
      <c r="H25" s="242"/>
      <c r="I25" s="157"/>
    </row>
    <row r="26" spans="1:9" ht="15.75" x14ac:dyDescent="0.25">
      <c r="A26" s="164" t="s">
        <v>60</v>
      </c>
      <c r="B26" s="165">
        <f>DATE(23,7,1)</f>
        <v>8583</v>
      </c>
      <c r="C26" s="226">
        <v>121881486.05</v>
      </c>
      <c r="D26" s="226">
        <v>12067335.59</v>
      </c>
      <c r="E26" s="226">
        <v>11877741.560000001</v>
      </c>
      <c r="F26" s="166">
        <f>(+D26-E26)/E26</f>
        <v>1.5962127904725964E-2</v>
      </c>
      <c r="G26" s="241">
        <f>D26/C26</f>
        <v>9.9008766475406795E-2</v>
      </c>
      <c r="H26" s="242">
        <f>1-G26</f>
        <v>0.9009912335245932</v>
      </c>
      <c r="I26" s="157"/>
    </row>
    <row r="27" spans="1:9" ht="15.75" thickBot="1" x14ac:dyDescent="0.25">
      <c r="A27" s="167"/>
      <c r="B27" s="165"/>
      <c r="C27" s="226"/>
      <c r="D27" s="226"/>
      <c r="E27" s="226"/>
      <c r="F27" s="166"/>
      <c r="G27" s="241"/>
      <c r="H27" s="242"/>
      <c r="I27" s="157"/>
    </row>
    <row r="28" spans="1:9" ht="17.25" thickTop="1" thickBot="1" x14ac:dyDescent="0.3">
      <c r="A28" s="174" t="s">
        <v>14</v>
      </c>
      <c r="B28" s="175"/>
      <c r="C28" s="228">
        <f>SUM(C26:C27)</f>
        <v>121881486.05</v>
      </c>
      <c r="D28" s="230">
        <f>SUM(D26:D27)</f>
        <v>12067335.59</v>
      </c>
      <c r="E28" s="271">
        <f>SUM(E26:E27)</f>
        <v>11877741.560000001</v>
      </c>
      <c r="F28" s="272">
        <f>(+D28-E28)/E28</f>
        <v>1.5962127904725964E-2</v>
      </c>
      <c r="G28" s="249">
        <f>D28/C28</f>
        <v>9.9008766475406795E-2</v>
      </c>
      <c r="H28" s="270">
        <f>1-G28</f>
        <v>0.9009912335245932</v>
      </c>
      <c r="I28" s="157"/>
    </row>
    <row r="29" spans="1:9" ht="15.75" thickTop="1" x14ac:dyDescent="0.2">
      <c r="A29" s="167"/>
      <c r="B29" s="168"/>
      <c r="C29" s="226"/>
      <c r="D29" s="226"/>
      <c r="E29" s="226"/>
      <c r="F29" s="166"/>
      <c r="G29" s="241"/>
      <c r="H29" s="242"/>
      <c r="I29" s="157"/>
    </row>
    <row r="30" spans="1:9" ht="15.75" x14ac:dyDescent="0.25">
      <c r="A30" s="164" t="s">
        <v>64</v>
      </c>
      <c r="B30" s="165">
        <f>DATE(23,7,1)</f>
        <v>8583</v>
      </c>
      <c r="C30" s="226">
        <v>53239780.990000002</v>
      </c>
      <c r="D30" s="226">
        <v>5575819.8300000001</v>
      </c>
      <c r="E30" s="226">
        <v>5559220.0999999996</v>
      </c>
      <c r="F30" s="166">
        <f>(+D30-E30)/E30</f>
        <v>2.9859817926619686E-3</v>
      </c>
      <c r="G30" s="241">
        <f>D30/C30</f>
        <v>0.10473032995848167</v>
      </c>
      <c r="H30" s="242">
        <f>1-G30</f>
        <v>0.89526967004151836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5"/>
      <c r="C32" s="228">
        <f>SUM(C30:C31)</f>
        <v>53239780.990000002</v>
      </c>
      <c r="D32" s="230">
        <f>SUM(D30:D31)</f>
        <v>5575819.8300000001</v>
      </c>
      <c r="E32" s="271">
        <f>SUM(E30:E31)</f>
        <v>5559220.0999999996</v>
      </c>
      <c r="F32" s="272">
        <f>(+D32-E32)/E32</f>
        <v>2.9859817926619686E-3</v>
      </c>
      <c r="G32" s="249">
        <f>D32/C32</f>
        <v>0.10473032995848167</v>
      </c>
      <c r="H32" s="270">
        <f>1-G32</f>
        <v>0.89526967004151836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290" t="s">
        <v>67</v>
      </c>
      <c r="B34" s="165">
        <f>DATE(23,7,1)</f>
        <v>8583</v>
      </c>
      <c r="C34" s="226">
        <v>89298995.370000005</v>
      </c>
      <c r="D34" s="226">
        <v>9977929.8800000008</v>
      </c>
      <c r="E34" s="226">
        <v>9654928.8200000003</v>
      </c>
      <c r="F34" s="166">
        <f>(+D34-E34)/E34</f>
        <v>3.3454525250451353E-2</v>
      </c>
      <c r="G34" s="241">
        <f>D34/C34</f>
        <v>0.11173619410450933</v>
      </c>
      <c r="H34" s="242">
        <f>1-G34</f>
        <v>0.8882638058954907</v>
      </c>
      <c r="I34" s="157"/>
    </row>
    <row r="35" spans="1:9" ht="15.75" thickBot="1" x14ac:dyDescent="0.25">
      <c r="A35" s="167"/>
      <c r="B35" s="165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74" t="s">
        <v>14</v>
      </c>
      <c r="B36" s="175"/>
      <c r="C36" s="228">
        <f>SUM(C34:C35)</f>
        <v>89298995.370000005</v>
      </c>
      <c r="D36" s="230">
        <f>SUM(D34:D35)</f>
        <v>9977929.8800000008</v>
      </c>
      <c r="E36" s="271">
        <f>SUM(E34:E35)</f>
        <v>9654928.8200000003</v>
      </c>
      <c r="F36" s="272">
        <f>(+D36-E36)/E36</f>
        <v>3.3454525250451353E-2</v>
      </c>
      <c r="G36" s="249">
        <f>D36/C36</f>
        <v>0.11173619410450933</v>
      </c>
      <c r="H36" s="270">
        <f>1-G36</f>
        <v>0.8882638058954907</v>
      </c>
      <c r="I36" s="157"/>
    </row>
    <row r="37" spans="1:9" ht="15.75" thickTop="1" x14ac:dyDescent="0.2">
      <c r="A37" s="167"/>
      <c r="B37" s="168"/>
      <c r="C37" s="226"/>
      <c r="D37" s="226"/>
      <c r="E37" s="226"/>
      <c r="F37" s="166"/>
      <c r="G37" s="241"/>
      <c r="H37" s="242"/>
      <c r="I37" s="157"/>
    </row>
    <row r="38" spans="1:9" ht="15.75" x14ac:dyDescent="0.25">
      <c r="A38" s="164" t="s">
        <v>69</v>
      </c>
      <c r="B38" s="165">
        <f>DATE(23,7,1)</f>
        <v>8583</v>
      </c>
      <c r="C38" s="226">
        <v>121213119.26000001</v>
      </c>
      <c r="D38" s="226">
        <v>12329543.52</v>
      </c>
      <c r="E38" s="226">
        <v>11762621.74</v>
      </c>
      <c r="F38" s="166">
        <f>(+D38-E38)/E38</f>
        <v>4.8196889480184822E-2</v>
      </c>
      <c r="G38" s="241">
        <f>D38/C38</f>
        <v>0.10171789650552054</v>
      </c>
      <c r="H38" s="242">
        <f>1-G38</f>
        <v>0.89828210349447946</v>
      </c>
      <c r="I38" s="157"/>
    </row>
    <row r="39" spans="1:9" ht="15.75" thickBot="1" x14ac:dyDescent="0.25">
      <c r="A39" s="167"/>
      <c r="B39" s="165"/>
      <c r="C39" s="226"/>
      <c r="D39" s="226"/>
      <c r="E39" s="226"/>
      <c r="F39" s="166"/>
      <c r="G39" s="241"/>
      <c r="H39" s="242"/>
      <c r="I39" s="157"/>
    </row>
    <row r="40" spans="1:9" ht="17.25" thickTop="1" thickBot="1" x14ac:dyDescent="0.3">
      <c r="A40" s="174" t="s">
        <v>14</v>
      </c>
      <c r="B40" s="175"/>
      <c r="C40" s="228">
        <f>SUM(C38:C39)</f>
        <v>121213119.26000001</v>
      </c>
      <c r="D40" s="230">
        <f>SUM(D38:D39)</f>
        <v>12329543.52</v>
      </c>
      <c r="E40" s="271">
        <f>SUM(E38:E39)</f>
        <v>11762621.74</v>
      </c>
      <c r="F40" s="176">
        <f>(+D40-E40)/E40</f>
        <v>4.8196889480184822E-2</v>
      </c>
      <c r="G40" s="249">
        <f>D40/C40</f>
        <v>0.10171789650552054</v>
      </c>
      <c r="H40" s="270">
        <f>1-G40</f>
        <v>0.89828210349447946</v>
      </c>
      <c r="I40" s="157"/>
    </row>
    <row r="41" spans="1:9" ht="15.75" thickTop="1" x14ac:dyDescent="0.2">
      <c r="A41" s="167"/>
      <c r="B41" s="179"/>
      <c r="C41" s="229"/>
      <c r="D41" s="229"/>
      <c r="E41" s="229"/>
      <c r="F41" s="180"/>
      <c r="G41" s="247"/>
      <c r="H41" s="248"/>
      <c r="I41" s="157"/>
    </row>
    <row r="42" spans="1:9" ht="15.75" x14ac:dyDescent="0.25">
      <c r="A42" s="164" t="s">
        <v>16</v>
      </c>
      <c r="B42" s="165">
        <f>DATE(23,7,1)</f>
        <v>8583</v>
      </c>
      <c r="C42" s="226">
        <v>160295640.59</v>
      </c>
      <c r="D42" s="226">
        <v>15534932.51</v>
      </c>
      <c r="E42" s="226">
        <v>15914314.48</v>
      </c>
      <c r="F42" s="166">
        <f>(+D42-E42)/E42</f>
        <v>-2.383903940548501E-2</v>
      </c>
      <c r="G42" s="241">
        <f>D42/C42</f>
        <v>9.691425451634611E-2</v>
      </c>
      <c r="H42" s="242">
        <f>1-G42</f>
        <v>0.90308574548365383</v>
      </c>
      <c r="I42" s="157"/>
    </row>
    <row r="43" spans="1:9" ht="15.75" customHeight="1" thickBot="1" x14ac:dyDescent="0.3">
      <c r="A43" s="164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81"/>
      <c r="C44" s="228">
        <f>SUM(C42:C43)</f>
        <v>160295640.59</v>
      </c>
      <c r="D44" s="228">
        <f>SUM(D42:D43)</f>
        <v>15534932.51</v>
      </c>
      <c r="E44" s="228">
        <f>SUM(E42:E43)</f>
        <v>15914314.48</v>
      </c>
      <c r="F44" s="176">
        <f>(+D44-E44)/E44</f>
        <v>-2.383903940548501E-2</v>
      </c>
      <c r="G44" s="245">
        <f>D44/C44</f>
        <v>9.691425451634611E-2</v>
      </c>
      <c r="H44" s="246">
        <f>1-G44</f>
        <v>0.90308574548365383</v>
      </c>
      <c r="I44" s="157"/>
    </row>
    <row r="45" spans="1:9" ht="15.75" thickTop="1" x14ac:dyDescent="0.2">
      <c r="A45" s="171"/>
      <c r="B45" s="172"/>
      <c r="C45" s="227"/>
      <c r="D45" s="227"/>
      <c r="E45" s="227"/>
      <c r="F45" s="173"/>
      <c r="G45" s="243"/>
      <c r="H45" s="244"/>
      <c r="I45" s="157"/>
    </row>
    <row r="46" spans="1:9" ht="15.75" x14ac:dyDescent="0.25">
      <c r="A46" s="164" t="s">
        <v>53</v>
      </c>
      <c r="B46" s="165">
        <f>DATE(23,7,1)</f>
        <v>8583</v>
      </c>
      <c r="C46" s="226">
        <v>214046132.72999999</v>
      </c>
      <c r="D46" s="226">
        <v>19538214.289999999</v>
      </c>
      <c r="E46" s="226">
        <v>19656587.449999999</v>
      </c>
      <c r="F46" s="166">
        <f>(+D46-E46)/E46</f>
        <v>-6.022060558634767E-3</v>
      </c>
      <c r="G46" s="241">
        <f>D46/C46</f>
        <v>9.1280389142305629E-2</v>
      </c>
      <c r="H46" s="242">
        <f>1-G46</f>
        <v>0.90871961085769437</v>
      </c>
      <c r="I46" s="157"/>
    </row>
    <row r="47" spans="1:9" ht="15.75" thickBot="1" x14ac:dyDescent="0.25">
      <c r="A47" s="167"/>
      <c r="B47" s="168"/>
      <c r="C47" s="226"/>
      <c r="D47" s="226"/>
      <c r="E47" s="226"/>
      <c r="F47" s="166"/>
      <c r="G47" s="241"/>
      <c r="H47" s="242"/>
      <c r="I47" s="157"/>
    </row>
    <row r="48" spans="1:9" ht="17.25" thickTop="1" thickBot="1" x14ac:dyDescent="0.3">
      <c r="A48" s="174" t="s">
        <v>14</v>
      </c>
      <c r="B48" s="175"/>
      <c r="C48" s="228">
        <f>SUM(C46:C47)</f>
        <v>214046132.72999999</v>
      </c>
      <c r="D48" s="228">
        <f>SUM(D46:D47)</f>
        <v>19538214.289999999</v>
      </c>
      <c r="E48" s="228">
        <f>SUM(E46:E47)</f>
        <v>19656587.449999999</v>
      </c>
      <c r="F48" s="176">
        <f>(+D48-E48)/E48</f>
        <v>-6.022060558634767E-3</v>
      </c>
      <c r="G48" s="249">
        <f>D48/C48</f>
        <v>9.1280389142305629E-2</v>
      </c>
      <c r="H48" s="270">
        <f>1-G48</f>
        <v>0.90871961085769437</v>
      </c>
      <c r="I48" s="157"/>
    </row>
    <row r="49" spans="1:9" ht="15.75" thickTop="1" x14ac:dyDescent="0.2">
      <c r="A49" s="167"/>
      <c r="B49" s="168"/>
      <c r="C49" s="226"/>
      <c r="D49" s="226"/>
      <c r="E49" s="226"/>
      <c r="F49" s="166"/>
      <c r="G49" s="241"/>
      <c r="H49" s="242"/>
      <c r="I49" s="157"/>
    </row>
    <row r="50" spans="1:9" ht="15.75" x14ac:dyDescent="0.25">
      <c r="A50" s="164" t="s">
        <v>54</v>
      </c>
      <c r="B50" s="165">
        <f>DATE(23,7,1)</f>
        <v>8583</v>
      </c>
      <c r="C50" s="226">
        <v>28158647.050000001</v>
      </c>
      <c r="D50" s="226">
        <v>3124210.48</v>
      </c>
      <c r="E50" s="226">
        <v>3220140.18</v>
      </c>
      <c r="F50" s="166">
        <f>(+D50-E50)/E50</f>
        <v>-2.9790535392158046E-2</v>
      </c>
      <c r="G50" s="241">
        <f>D50/C50</f>
        <v>0.11095030505025631</v>
      </c>
      <c r="H50" s="242">
        <f>1-G50</f>
        <v>0.88904969494974373</v>
      </c>
      <c r="I50" s="157"/>
    </row>
    <row r="51" spans="1:9" ht="15.75" thickBot="1" x14ac:dyDescent="0.25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7.25" thickTop="1" thickBot="1" x14ac:dyDescent="0.3">
      <c r="A52" s="182" t="s">
        <v>14</v>
      </c>
      <c r="B52" s="183"/>
      <c r="C52" s="230">
        <f>SUM(C50:C51)</f>
        <v>28158647.050000001</v>
      </c>
      <c r="D52" s="230">
        <f>SUM(D50:D51)</f>
        <v>3124210.48</v>
      </c>
      <c r="E52" s="230">
        <f>SUM(E50:E51)</f>
        <v>3220140.18</v>
      </c>
      <c r="F52" s="176">
        <f>(+D52-E52)/E52</f>
        <v>-2.9790535392158046E-2</v>
      </c>
      <c r="G52" s="249">
        <f>D52/C52</f>
        <v>0.11095030505025631</v>
      </c>
      <c r="H52" s="246">
        <f>1-G52</f>
        <v>0.88904969494974373</v>
      </c>
      <c r="I52" s="157"/>
    </row>
    <row r="53" spans="1:9" ht="15.75" thickTop="1" x14ac:dyDescent="0.2">
      <c r="A53" s="167"/>
      <c r="B53" s="168"/>
      <c r="C53" s="226"/>
      <c r="D53" s="226"/>
      <c r="E53" s="226"/>
      <c r="F53" s="166"/>
      <c r="G53" s="241"/>
      <c r="H53" s="242"/>
      <c r="I53" s="157"/>
    </row>
    <row r="54" spans="1:9" ht="15.75" x14ac:dyDescent="0.25">
      <c r="A54" s="164" t="s">
        <v>37</v>
      </c>
      <c r="B54" s="165">
        <f>DATE(23,7,1)</f>
        <v>8583</v>
      </c>
      <c r="C54" s="226">
        <v>221709382.90000001</v>
      </c>
      <c r="D54" s="226">
        <v>20800777.710000001</v>
      </c>
      <c r="E54" s="226">
        <v>21735779.219999999</v>
      </c>
      <c r="F54" s="166">
        <f>(+D54-E54)/E54</f>
        <v>-4.3016700737356771E-2</v>
      </c>
      <c r="G54" s="241">
        <f>D54/C54</f>
        <v>9.3820015363905468E-2</v>
      </c>
      <c r="H54" s="242">
        <f>1-G54</f>
        <v>0.9061799846360945</v>
      </c>
      <c r="I54" s="157"/>
    </row>
    <row r="55" spans="1:9" ht="15.75" thickBot="1" x14ac:dyDescent="0.25">
      <c r="A55" s="167"/>
      <c r="B55" s="168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SUM(C54:C55)</f>
        <v>221709382.90000001</v>
      </c>
      <c r="D56" s="228">
        <f>SUM(D54:D55)</f>
        <v>20800777.710000001</v>
      </c>
      <c r="E56" s="228">
        <f>SUM(E54:E55)</f>
        <v>21735779.219999999</v>
      </c>
      <c r="F56" s="176">
        <f>(+D56-E56)/E56</f>
        <v>-4.3016700737356771E-2</v>
      </c>
      <c r="G56" s="245">
        <f>D56/C56</f>
        <v>9.3820015363905468E-2</v>
      </c>
      <c r="H56" s="246">
        <f>1-G56</f>
        <v>0.9061799846360945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164" t="s">
        <v>57</v>
      </c>
      <c r="B58" s="165">
        <f>DATE(23,7,1)</f>
        <v>8583</v>
      </c>
      <c r="C58" s="226">
        <v>33435275.829999998</v>
      </c>
      <c r="D58" s="226">
        <v>3743935.17</v>
      </c>
      <c r="E58" s="226">
        <v>3941098.7</v>
      </c>
      <c r="F58" s="166">
        <f>(+D58-E58)/E58</f>
        <v>-5.0027554498952347E-2</v>
      </c>
      <c r="G58" s="241">
        <f>D58/C58</f>
        <v>0.11197560292416467</v>
      </c>
      <c r="H58" s="242">
        <f>1-G58</f>
        <v>0.88802439707583536</v>
      </c>
      <c r="I58" s="157"/>
    </row>
    <row r="59" spans="1:9" ht="15.75" thickBot="1" x14ac:dyDescent="0.25">
      <c r="A59" s="167"/>
      <c r="B59" s="168"/>
      <c r="C59" s="226"/>
      <c r="D59" s="226"/>
      <c r="E59" s="226"/>
      <c r="F59" s="166"/>
      <c r="G59" s="241"/>
      <c r="H59" s="242"/>
      <c r="I59" s="157"/>
    </row>
    <row r="60" spans="1:9" ht="17.25" thickTop="1" thickBot="1" x14ac:dyDescent="0.3">
      <c r="A60" s="169" t="s">
        <v>14</v>
      </c>
      <c r="B60" s="155"/>
      <c r="C60" s="223">
        <f>SUM(C58:C59)</f>
        <v>33435275.829999998</v>
      </c>
      <c r="D60" s="223">
        <f>SUM(D58:D59)</f>
        <v>3743935.17</v>
      </c>
      <c r="E60" s="223">
        <f>SUM(E58:E59)</f>
        <v>3941098.7</v>
      </c>
      <c r="F60" s="176">
        <f>(+D60-E60)/E60</f>
        <v>-5.0027554498952347E-2</v>
      </c>
      <c r="G60" s="245">
        <f>D60/C60</f>
        <v>0.11197560292416467</v>
      </c>
      <c r="H60" s="246">
        <f>1-G60</f>
        <v>0.88802439707583536</v>
      </c>
      <c r="I60" s="157"/>
    </row>
    <row r="61" spans="1:9" ht="16.5" thickTop="1" thickBot="1" x14ac:dyDescent="0.25">
      <c r="A61" s="171"/>
      <c r="B61" s="172"/>
      <c r="C61" s="227"/>
      <c r="D61" s="227"/>
      <c r="E61" s="227"/>
      <c r="F61" s="173"/>
      <c r="G61" s="243"/>
      <c r="H61" s="244"/>
      <c r="I61" s="157"/>
    </row>
    <row r="62" spans="1:9" ht="17.25" thickTop="1" thickBot="1" x14ac:dyDescent="0.3">
      <c r="A62" s="184" t="s">
        <v>38</v>
      </c>
      <c r="B62" s="155"/>
      <c r="C62" s="223">
        <f>C60+C56+C44+C36+C28+C20+C12+C24+C52+C16+C40+C48+C32</f>
        <v>1490152064.6700001</v>
      </c>
      <c r="D62" s="223">
        <f>D60+D56+D44+D36+D28+D20+D12+D24+D52+D16+D40+D48+D32</f>
        <v>144688483.59999999</v>
      </c>
      <c r="E62" s="223">
        <f>E60+E56+E44+E36+E28+E20+E12+E24+E52+E16+E40+E48+E32</f>
        <v>145355086.03999999</v>
      </c>
      <c r="F62" s="170">
        <f>(+D62-E62)/E62</f>
        <v>-4.586027624905788E-3</v>
      </c>
      <c r="G62" s="236">
        <f>D62/C62</f>
        <v>9.7096455476201229E-2</v>
      </c>
      <c r="H62" s="237">
        <f>1-G62</f>
        <v>0.90290354452379873</v>
      </c>
      <c r="I62" s="157"/>
    </row>
    <row r="63" spans="1:9" ht="17.25" thickTop="1" thickBot="1" x14ac:dyDescent="0.3">
      <c r="A63" s="184"/>
      <c r="B63" s="155"/>
      <c r="C63" s="223"/>
      <c r="D63" s="223"/>
      <c r="E63" s="223"/>
      <c r="F63" s="170"/>
      <c r="G63" s="236"/>
      <c r="H63" s="237"/>
      <c r="I63" s="157"/>
    </row>
    <row r="64" spans="1:9" ht="17.25" thickTop="1" thickBot="1" x14ac:dyDescent="0.3">
      <c r="A64" s="184" t="s">
        <v>39</v>
      </c>
      <c r="B64" s="155"/>
      <c r="C64" s="223">
        <f>+C10+C14+C18+C22+C26+C30+C34+C42+C38+C46+C50+C54+C58</f>
        <v>1490152064.6699998</v>
      </c>
      <c r="D64" s="223">
        <f>+D10+D14+D18+D22+D26+D30+D34+D42+D38+D46+D50+D54+D58</f>
        <v>144688483.59999996</v>
      </c>
      <c r="E64" s="223">
        <f>+E10+E14+E18+E22+E26+E30+E34+E42+E38+E46+E50+E54+E58</f>
        <v>145355086.04000002</v>
      </c>
      <c r="F64" s="170">
        <f>(+D64-E64)/E64</f>
        <v>-4.5860276249061974E-3</v>
      </c>
      <c r="G64" s="236">
        <f>D64/C64</f>
        <v>9.7096455476201229E-2</v>
      </c>
      <c r="H64" s="246">
        <f>1-G64</f>
        <v>0.90290354452379873</v>
      </c>
      <c r="I64" s="157"/>
    </row>
    <row r="65" spans="1:9" ht="16.5" thickTop="1" x14ac:dyDescent="0.25">
      <c r="A65" s="185"/>
      <c r="B65" s="186"/>
      <c r="C65" s="231"/>
      <c r="D65" s="231"/>
      <c r="E65" s="231"/>
      <c r="F65" s="187"/>
      <c r="G65" s="250"/>
      <c r="H65" s="250"/>
      <c r="I65" s="151"/>
    </row>
    <row r="66" spans="1:9" ht="16.5" customHeight="1" x14ac:dyDescent="0.3">
      <c r="A66" s="188" t="s">
        <v>49</v>
      </c>
      <c r="B66" s="189"/>
      <c r="C66" s="232"/>
      <c r="D66" s="232"/>
      <c r="E66" s="232"/>
      <c r="F66" s="190"/>
      <c r="G66" s="251"/>
      <c r="H66" s="251"/>
      <c r="I66" s="151"/>
    </row>
    <row r="67" spans="1:9" ht="15.75" x14ac:dyDescent="0.25">
      <c r="A67" s="191"/>
      <c r="B67" s="189"/>
      <c r="C67" s="232"/>
      <c r="D67" s="232"/>
      <c r="E67" s="232"/>
      <c r="F67" s="190"/>
      <c r="G67" s="257"/>
      <c r="H67" s="257"/>
      <c r="I67" s="151"/>
    </row>
    <row r="68" spans="1:9" ht="15.75" x14ac:dyDescent="0.25">
      <c r="A68" s="72"/>
      <c r="I68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2023-08-09T18:39:17Z</cp:lastPrinted>
  <dcterms:created xsi:type="dcterms:W3CDTF">2003-09-09T14:41:43Z</dcterms:created>
  <dcterms:modified xsi:type="dcterms:W3CDTF">2023-08-09T19:16:28Z</dcterms:modified>
</cp:coreProperties>
</file>