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sept\Accessible pdf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STATS'!$A$1:$M$78</definedName>
    <definedName name="_xlnm.Print_Area" localSheetId="4">'SLOT STATS'!$A$1:$I$79</definedName>
    <definedName name="_xlnm.Print_Area" localSheetId="2">'TABLE STATS'!$A$1:$H$78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 fullCalcOnLoad="1"/>
</workbook>
</file>

<file path=xl/calcChain.xml><?xml version="1.0" encoding="utf-8"?>
<calcChain xmlns="http://schemas.openxmlformats.org/spreadsheetml/2006/main">
  <c r="G71" i="4" l="1"/>
  <c r="H71" i="4"/>
  <c r="F71" i="4"/>
  <c r="G66" i="4"/>
  <c r="H66" i="4"/>
  <c r="F66" i="4"/>
  <c r="G61" i="4"/>
  <c r="H61" i="4"/>
  <c r="F61" i="4"/>
  <c r="G56" i="4"/>
  <c r="H56" i="4"/>
  <c r="F56" i="4"/>
  <c r="H51" i="4"/>
  <c r="G51" i="4"/>
  <c r="F51" i="4"/>
  <c r="G46" i="4"/>
  <c r="H46" i="4"/>
  <c r="F46" i="4"/>
  <c r="G41" i="4"/>
  <c r="H41" i="4"/>
  <c r="F41" i="4"/>
  <c r="G36" i="4"/>
  <c r="H36" i="4"/>
  <c r="F36" i="4"/>
  <c r="G31" i="4"/>
  <c r="H31" i="4"/>
  <c r="F31" i="4"/>
  <c r="H26" i="4"/>
  <c r="G26" i="4"/>
  <c r="F26" i="4"/>
  <c r="G21" i="4"/>
  <c r="H21" i="4"/>
  <c r="F21" i="4"/>
  <c r="H16" i="4"/>
  <c r="G16" i="4"/>
  <c r="F16" i="4"/>
  <c r="G11" i="4"/>
  <c r="H11" i="4"/>
  <c r="F11" i="4"/>
  <c r="E77" i="4"/>
  <c r="D77" i="4"/>
  <c r="F77" i="4"/>
  <c r="C77" i="4"/>
  <c r="G77" i="4"/>
  <c r="H77" i="4"/>
  <c r="B71" i="4"/>
  <c r="B66" i="4"/>
  <c r="B61" i="4"/>
  <c r="B56" i="4"/>
  <c r="B51" i="4"/>
  <c r="B46" i="4"/>
  <c r="B41" i="4"/>
  <c r="B36" i="4"/>
  <c r="B31" i="4"/>
  <c r="B26" i="4"/>
  <c r="B21" i="4"/>
  <c r="B16" i="4"/>
  <c r="B11" i="4"/>
  <c r="E77" i="5"/>
  <c r="D77" i="5"/>
  <c r="C77" i="5"/>
  <c r="G77" i="5"/>
  <c r="H77" i="5"/>
  <c r="G66" i="5"/>
  <c r="H66" i="5"/>
  <c r="F66" i="5"/>
  <c r="B71" i="5"/>
  <c r="B66" i="5"/>
  <c r="B61" i="5"/>
  <c r="B56" i="5"/>
  <c r="B51" i="5"/>
  <c r="B46" i="5"/>
  <c r="B41" i="5"/>
  <c r="B36" i="5"/>
  <c r="B31" i="5"/>
  <c r="B26" i="5"/>
  <c r="B21" i="5"/>
  <c r="B16" i="5"/>
  <c r="B11" i="5"/>
  <c r="E76" i="3"/>
  <c r="D76" i="3"/>
  <c r="C76" i="3"/>
  <c r="G70" i="3"/>
  <c r="F70" i="3"/>
  <c r="G65" i="3"/>
  <c r="F65" i="3"/>
  <c r="G60" i="3"/>
  <c r="F60" i="3"/>
  <c r="G55" i="3"/>
  <c r="F55" i="3"/>
  <c r="G50" i="3"/>
  <c r="F50" i="3"/>
  <c r="G45" i="3"/>
  <c r="F45" i="3"/>
  <c r="G40" i="3"/>
  <c r="F40" i="3"/>
  <c r="G35" i="3"/>
  <c r="F35" i="3"/>
  <c r="G30" i="3"/>
  <c r="F30" i="3"/>
  <c r="G25" i="3"/>
  <c r="F25" i="3"/>
  <c r="G20" i="3"/>
  <c r="F20" i="3"/>
  <c r="G15" i="3"/>
  <c r="F15" i="3"/>
  <c r="G10" i="3"/>
  <c r="F10" i="3"/>
  <c r="B70" i="3"/>
  <c r="B65" i="3"/>
  <c r="B60" i="3"/>
  <c r="B55" i="3"/>
  <c r="B50" i="3"/>
  <c r="B45" i="3"/>
  <c r="B40" i="3"/>
  <c r="B35" i="3"/>
  <c r="B30" i="3"/>
  <c r="B25" i="3"/>
  <c r="B20" i="3"/>
  <c r="B15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G44" i="1"/>
  <c r="L76" i="1"/>
  <c r="K76" i="1"/>
  <c r="M76" i="1"/>
  <c r="G76" i="1"/>
  <c r="F76" i="1"/>
  <c r="H76" i="1"/>
  <c r="D76" i="1"/>
  <c r="C76" i="1"/>
  <c r="E76" i="1"/>
  <c r="M70" i="1"/>
  <c r="J70" i="1"/>
  <c r="I70" i="1"/>
  <c r="H70" i="1"/>
  <c r="E70" i="1"/>
  <c r="G70" i="1"/>
  <c r="F70" i="1"/>
  <c r="M65" i="1"/>
  <c r="J65" i="1"/>
  <c r="I65" i="1"/>
  <c r="H65" i="1"/>
  <c r="E65" i="1"/>
  <c r="G65" i="1"/>
  <c r="G67" i="1"/>
  <c r="F65" i="1"/>
  <c r="M60" i="1"/>
  <c r="J60" i="1"/>
  <c r="I60" i="1"/>
  <c r="H60" i="1"/>
  <c r="E60" i="1"/>
  <c r="G60" i="1"/>
  <c r="F60" i="1"/>
  <c r="F62" i="1"/>
  <c r="M55" i="1"/>
  <c r="J55" i="1"/>
  <c r="I55" i="1"/>
  <c r="H55" i="1"/>
  <c r="E55" i="1"/>
  <c r="G55" i="1"/>
  <c r="G57" i="1"/>
  <c r="F55" i="1"/>
  <c r="M50" i="1"/>
  <c r="J50" i="1"/>
  <c r="I50" i="1"/>
  <c r="H50" i="1"/>
  <c r="E50" i="1"/>
  <c r="G50" i="1"/>
  <c r="F50" i="1"/>
  <c r="M45" i="1"/>
  <c r="J45" i="1"/>
  <c r="I45" i="1"/>
  <c r="H45" i="1"/>
  <c r="E45" i="1"/>
  <c r="G45" i="1"/>
  <c r="F45" i="1"/>
  <c r="M40" i="1"/>
  <c r="J40" i="1"/>
  <c r="I40" i="1"/>
  <c r="H40" i="1"/>
  <c r="E40" i="1"/>
  <c r="G40" i="1"/>
  <c r="F40" i="1"/>
  <c r="F42" i="1"/>
  <c r="M35" i="1"/>
  <c r="J35" i="1"/>
  <c r="I35" i="1"/>
  <c r="H35" i="1"/>
  <c r="E35" i="1"/>
  <c r="G35" i="1"/>
  <c r="F35" i="1"/>
  <c r="F37" i="1"/>
  <c r="M30" i="1"/>
  <c r="J30" i="1"/>
  <c r="I30" i="1"/>
  <c r="H30" i="1"/>
  <c r="E30" i="1"/>
  <c r="G30" i="1"/>
  <c r="F30" i="1"/>
  <c r="M25" i="1"/>
  <c r="J25" i="1"/>
  <c r="I25" i="1"/>
  <c r="H25" i="1"/>
  <c r="E25" i="1"/>
  <c r="G25" i="1"/>
  <c r="F25" i="1"/>
  <c r="M20" i="1"/>
  <c r="J20" i="1"/>
  <c r="I20" i="1"/>
  <c r="H20" i="1"/>
  <c r="E20" i="1"/>
  <c r="G20" i="1"/>
  <c r="G22" i="1"/>
  <c r="H22" i="1"/>
  <c r="F20" i="1"/>
  <c r="M15" i="1"/>
  <c r="J15" i="1"/>
  <c r="I15" i="1"/>
  <c r="H15" i="1"/>
  <c r="E15" i="1"/>
  <c r="G15" i="1"/>
  <c r="F15" i="1"/>
  <c r="M10" i="1"/>
  <c r="J10" i="1"/>
  <c r="I10" i="1"/>
  <c r="H10" i="1"/>
  <c r="E10" i="1"/>
  <c r="G10" i="1"/>
  <c r="F10" i="1"/>
  <c r="B70" i="1"/>
  <c r="B65" i="1"/>
  <c r="B60" i="1"/>
  <c r="B55" i="1"/>
  <c r="B50" i="1"/>
  <c r="B45" i="1"/>
  <c r="B40" i="1"/>
  <c r="B35" i="1"/>
  <c r="B30" i="1"/>
  <c r="B25" i="1"/>
  <c r="B20" i="1"/>
  <c r="B15" i="1"/>
  <c r="B10" i="1"/>
  <c r="B70" i="4"/>
  <c r="B65" i="4"/>
  <c r="B60" i="4"/>
  <c r="B55" i="4"/>
  <c r="B50" i="4"/>
  <c r="B45" i="4"/>
  <c r="B40" i="4"/>
  <c r="B35" i="4"/>
  <c r="B30" i="4"/>
  <c r="B25" i="4"/>
  <c r="B20" i="4"/>
  <c r="B15" i="4"/>
  <c r="B10" i="4"/>
  <c r="B70" i="5"/>
  <c r="B65" i="5"/>
  <c r="B60" i="5"/>
  <c r="B55" i="5"/>
  <c r="B50" i="5"/>
  <c r="B45" i="5"/>
  <c r="B40" i="5"/>
  <c r="B35" i="5"/>
  <c r="B30" i="5"/>
  <c r="B25" i="5"/>
  <c r="B20" i="5"/>
  <c r="B15" i="5"/>
  <c r="B10" i="5"/>
  <c r="B69" i="3"/>
  <c r="B64" i="3"/>
  <c r="B59" i="3"/>
  <c r="B54" i="3"/>
  <c r="B49" i="3"/>
  <c r="B44" i="3"/>
  <c r="B39" i="3"/>
  <c r="B34" i="3"/>
  <c r="B29" i="3"/>
  <c r="B24" i="3"/>
  <c r="B19" i="3"/>
  <c r="B14" i="3"/>
  <c r="B9" i="3"/>
  <c r="A31" i="2"/>
  <c r="A10" i="2"/>
  <c r="G69" i="1"/>
  <c r="F69" i="1"/>
  <c r="G64" i="1"/>
  <c r="F64" i="1"/>
  <c r="G59" i="1"/>
  <c r="F59" i="1"/>
  <c r="G54" i="1"/>
  <c r="F54" i="1"/>
  <c r="G49" i="1"/>
  <c r="F49" i="1"/>
  <c r="F44" i="1"/>
  <c r="G39" i="1"/>
  <c r="F39" i="1"/>
  <c r="G34" i="1"/>
  <c r="F34" i="1"/>
  <c r="G29" i="1"/>
  <c r="F29" i="1"/>
  <c r="G24" i="1"/>
  <c r="F24" i="1"/>
  <c r="J24" i="1"/>
  <c r="G19" i="1"/>
  <c r="F19" i="1"/>
  <c r="G14" i="1"/>
  <c r="G17" i="1"/>
  <c r="F14" i="1"/>
  <c r="G9" i="1"/>
  <c r="F9" i="1"/>
  <c r="B69" i="1"/>
  <c r="B64" i="1"/>
  <c r="B59" i="1"/>
  <c r="B54" i="1"/>
  <c r="B49" i="1"/>
  <c r="B44" i="1"/>
  <c r="B39" i="1"/>
  <c r="B34" i="1"/>
  <c r="B29" i="1"/>
  <c r="B24" i="1"/>
  <c r="B19" i="1"/>
  <c r="B14" i="1"/>
  <c r="B9" i="1"/>
  <c r="J54" i="1"/>
  <c r="F12" i="1"/>
  <c r="F65" i="5"/>
  <c r="J59" i="1"/>
  <c r="J34" i="1"/>
  <c r="F22" i="1"/>
  <c r="F17" i="1"/>
  <c r="J17" i="1"/>
  <c r="G65" i="5"/>
  <c r="H65" i="5"/>
  <c r="B10" i="2"/>
  <c r="E73" i="5"/>
  <c r="D73" i="5"/>
  <c r="C73" i="5"/>
  <c r="E68" i="5"/>
  <c r="D68" i="5"/>
  <c r="C68" i="5"/>
  <c r="G68" i="5"/>
  <c r="H68" i="5"/>
  <c r="E63" i="5"/>
  <c r="D63" i="5"/>
  <c r="C63" i="5"/>
  <c r="E58" i="5"/>
  <c r="D58" i="5"/>
  <c r="C58" i="5"/>
  <c r="E53" i="5"/>
  <c r="D53" i="5"/>
  <c r="C53" i="5"/>
  <c r="E48" i="5"/>
  <c r="D48" i="5"/>
  <c r="C48" i="5"/>
  <c r="E43" i="5"/>
  <c r="D43" i="5"/>
  <c r="C43" i="5"/>
  <c r="E38" i="5"/>
  <c r="D38" i="5"/>
  <c r="C38" i="5"/>
  <c r="E33" i="5"/>
  <c r="D33" i="5"/>
  <c r="C33" i="5"/>
  <c r="E28" i="5"/>
  <c r="F28" i="5"/>
  <c r="D28" i="5"/>
  <c r="C28" i="5"/>
  <c r="E23" i="5"/>
  <c r="D23" i="5"/>
  <c r="C23" i="5"/>
  <c r="E18" i="5"/>
  <c r="D18" i="5"/>
  <c r="C18" i="5"/>
  <c r="E13" i="5"/>
  <c r="D13" i="5"/>
  <c r="F13" i="5"/>
  <c r="C13" i="5"/>
  <c r="L27" i="1"/>
  <c r="F35" i="4"/>
  <c r="F34" i="3"/>
  <c r="M34" i="1"/>
  <c r="E34" i="1"/>
  <c r="F70" i="4"/>
  <c r="F69" i="3"/>
  <c r="G31" i="2"/>
  <c r="G10" i="2"/>
  <c r="G23" i="2"/>
  <c r="M69" i="1"/>
  <c r="E69" i="1"/>
  <c r="E38" i="4"/>
  <c r="D38" i="4"/>
  <c r="F38" i="4"/>
  <c r="C38" i="4"/>
  <c r="G35" i="4"/>
  <c r="H35" i="4"/>
  <c r="E37" i="3"/>
  <c r="D37" i="3"/>
  <c r="C37" i="3"/>
  <c r="G34" i="3"/>
  <c r="L37" i="1"/>
  <c r="M37" i="1"/>
  <c r="D37" i="1"/>
  <c r="C37" i="1"/>
  <c r="I34" i="1"/>
  <c r="G70" i="4"/>
  <c r="H70" i="4"/>
  <c r="G69" i="3"/>
  <c r="I69" i="1"/>
  <c r="D12" i="1"/>
  <c r="D17" i="1"/>
  <c r="D22" i="1"/>
  <c r="D27" i="1"/>
  <c r="D32" i="1"/>
  <c r="E32" i="1"/>
  <c r="D42" i="1"/>
  <c r="D47" i="1"/>
  <c r="D52" i="1"/>
  <c r="E52" i="1"/>
  <c r="D57" i="1"/>
  <c r="D62" i="1"/>
  <c r="E62" i="1"/>
  <c r="D67" i="1"/>
  <c r="D72" i="1"/>
  <c r="C72" i="1"/>
  <c r="C73" i="4"/>
  <c r="G73" i="4"/>
  <c r="H73" i="4"/>
  <c r="D73" i="4"/>
  <c r="C72" i="3"/>
  <c r="G72" i="3"/>
  <c r="D72" i="3"/>
  <c r="E13" i="4"/>
  <c r="E18" i="4"/>
  <c r="E23" i="4"/>
  <c r="F23" i="4"/>
  <c r="E28" i="4"/>
  <c r="E33" i="4"/>
  <c r="E43" i="4"/>
  <c r="F43" i="4"/>
  <c r="E48" i="4"/>
  <c r="E53" i="4"/>
  <c r="F53" i="4"/>
  <c r="E58" i="4"/>
  <c r="E63" i="4"/>
  <c r="F63" i="4"/>
  <c r="E68" i="4"/>
  <c r="E73" i="4"/>
  <c r="F73" i="4"/>
  <c r="D13" i="4"/>
  <c r="D18" i="4"/>
  <c r="D23" i="4"/>
  <c r="D28" i="4"/>
  <c r="D33" i="4"/>
  <c r="D43" i="4"/>
  <c r="D48" i="4"/>
  <c r="F48" i="4"/>
  <c r="D53" i="4"/>
  <c r="G53" i="4"/>
  <c r="H53" i="4"/>
  <c r="D58" i="4"/>
  <c r="G58" i="4"/>
  <c r="H58" i="4"/>
  <c r="D63" i="4"/>
  <c r="D68" i="4"/>
  <c r="C13" i="4"/>
  <c r="C18" i="4"/>
  <c r="C23" i="4"/>
  <c r="C28" i="4"/>
  <c r="C33" i="4"/>
  <c r="C43" i="4"/>
  <c r="C48" i="4"/>
  <c r="C53" i="4"/>
  <c r="C58" i="4"/>
  <c r="C63" i="4"/>
  <c r="G63" i="4"/>
  <c r="H63" i="4"/>
  <c r="C68" i="4"/>
  <c r="F55" i="4"/>
  <c r="E12" i="3"/>
  <c r="E17" i="3"/>
  <c r="E22" i="3"/>
  <c r="E27" i="3"/>
  <c r="E32" i="3"/>
  <c r="E42" i="3"/>
  <c r="E47" i="3"/>
  <c r="F47" i="3"/>
  <c r="E52" i="3"/>
  <c r="E57" i="3"/>
  <c r="E62" i="3"/>
  <c r="E67" i="3"/>
  <c r="E72" i="3"/>
  <c r="D12" i="3"/>
  <c r="D17" i="3"/>
  <c r="D22" i="3"/>
  <c r="D27" i="3"/>
  <c r="D32" i="3"/>
  <c r="D42" i="3"/>
  <c r="G42" i="3"/>
  <c r="D47" i="3"/>
  <c r="D52" i="3"/>
  <c r="F52" i="3"/>
  <c r="D57" i="3"/>
  <c r="F57" i="3"/>
  <c r="D62" i="3"/>
  <c r="F62" i="3"/>
  <c r="D67" i="3"/>
  <c r="F67" i="3"/>
  <c r="C12" i="3"/>
  <c r="G12" i="3"/>
  <c r="C17" i="3"/>
  <c r="C22" i="3"/>
  <c r="C27" i="3"/>
  <c r="G27" i="3"/>
  <c r="C32" i="3"/>
  <c r="G32" i="3"/>
  <c r="C42" i="3"/>
  <c r="C47" i="3"/>
  <c r="C52" i="3"/>
  <c r="C57" i="3"/>
  <c r="C62" i="3"/>
  <c r="C67" i="3"/>
  <c r="F54" i="3"/>
  <c r="M54" i="1"/>
  <c r="E54" i="1"/>
  <c r="L12" i="1"/>
  <c r="L17" i="1"/>
  <c r="L22" i="1"/>
  <c r="L32" i="1"/>
  <c r="L42" i="1"/>
  <c r="L47" i="1"/>
  <c r="L52" i="1"/>
  <c r="L57" i="1"/>
  <c r="L62" i="1"/>
  <c r="L67" i="1"/>
  <c r="K12" i="1"/>
  <c r="K17" i="1"/>
  <c r="C12" i="1"/>
  <c r="C17" i="1"/>
  <c r="C22" i="1"/>
  <c r="C27" i="1"/>
  <c r="C32" i="1"/>
  <c r="C42" i="1"/>
  <c r="I42" i="1"/>
  <c r="C47" i="1"/>
  <c r="E47" i="1"/>
  <c r="C52" i="1"/>
  <c r="C57" i="1"/>
  <c r="C62" i="1"/>
  <c r="C67" i="1"/>
  <c r="E59" i="1"/>
  <c r="I59" i="1"/>
  <c r="M59" i="1"/>
  <c r="K57" i="1"/>
  <c r="F65" i="4"/>
  <c r="K31" i="2"/>
  <c r="K10" i="2"/>
  <c r="K27" i="1"/>
  <c r="M27" i="1"/>
  <c r="K32" i="1"/>
  <c r="K42" i="1"/>
  <c r="K47" i="1"/>
  <c r="I47" i="1"/>
  <c r="K52" i="1"/>
  <c r="J52" i="1"/>
  <c r="K67" i="1"/>
  <c r="J67" i="1"/>
  <c r="I54" i="1"/>
  <c r="G55" i="4"/>
  <c r="H55" i="4"/>
  <c r="G54" i="3"/>
  <c r="F45" i="4"/>
  <c r="F44" i="3"/>
  <c r="N31" i="2"/>
  <c r="M31" i="2"/>
  <c r="L31" i="2"/>
  <c r="J31" i="2"/>
  <c r="I31" i="2"/>
  <c r="I44" i="2"/>
  <c r="H31" i="2"/>
  <c r="F31" i="2"/>
  <c r="E31" i="2"/>
  <c r="C31" i="2"/>
  <c r="B31" i="2"/>
  <c r="M44" i="1"/>
  <c r="E44" i="1"/>
  <c r="I10" i="2"/>
  <c r="G45" i="4"/>
  <c r="H45" i="4"/>
  <c r="G50" i="4"/>
  <c r="H50" i="4"/>
  <c r="F50" i="4"/>
  <c r="G44" i="3"/>
  <c r="I44" i="1"/>
  <c r="F10" i="4"/>
  <c r="G10" i="4"/>
  <c r="H10" i="4"/>
  <c r="I9" i="1"/>
  <c r="I14" i="1"/>
  <c r="I24" i="1"/>
  <c r="I29" i="1"/>
  <c r="I39" i="1"/>
  <c r="I49" i="1"/>
  <c r="I64" i="1"/>
  <c r="E9" i="1"/>
  <c r="M9" i="1"/>
  <c r="E14" i="1"/>
  <c r="M14" i="1"/>
  <c r="E19" i="1"/>
  <c r="E24" i="1"/>
  <c r="M24" i="1"/>
  <c r="E29" i="1"/>
  <c r="M29" i="1"/>
  <c r="E39" i="1"/>
  <c r="M39" i="1"/>
  <c r="E49" i="1"/>
  <c r="M49" i="1"/>
  <c r="E64" i="1"/>
  <c r="M64" i="1"/>
  <c r="F15" i="4"/>
  <c r="G15" i="4"/>
  <c r="H15" i="4"/>
  <c r="F20" i="4"/>
  <c r="G20" i="4"/>
  <c r="H20" i="4"/>
  <c r="F25" i="4"/>
  <c r="G25" i="4"/>
  <c r="H25" i="4"/>
  <c r="F30" i="4"/>
  <c r="G30" i="4"/>
  <c r="H30" i="4"/>
  <c r="F40" i="4"/>
  <c r="G40" i="4"/>
  <c r="H40" i="4"/>
  <c r="F60" i="4"/>
  <c r="G60" i="4"/>
  <c r="H60" i="4"/>
  <c r="G65" i="4"/>
  <c r="H65" i="4"/>
  <c r="F9" i="3"/>
  <c r="F14" i="3"/>
  <c r="G14" i="3"/>
  <c r="F19" i="3"/>
  <c r="G19" i="3"/>
  <c r="F24" i="3"/>
  <c r="G24" i="3"/>
  <c r="F29" i="3"/>
  <c r="G29" i="3"/>
  <c r="F39" i="3"/>
  <c r="G39" i="3"/>
  <c r="F49" i="3"/>
  <c r="G49" i="3"/>
  <c r="F59" i="3"/>
  <c r="G59" i="3"/>
  <c r="F64" i="3"/>
  <c r="G64" i="3"/>
  <c r="G9" i="3"/>
  <c r="C10" i="2"/>
  <c r="D10" i="2"/>
  <c r="D23" i="2"/>
  <c r="E10" i="2"/>
  <c r="F10" i="2"/>
  <c r="F23" i="2"/>
  <c r="H10" i="2"/>
  <c r="J10" i="2"/>
  <c r="J23" i="2"/>
  <c r="L10" i="2"/>
  <c r="M10" i="2"/>
  <c r="N10" i="2"/>
  <c r="I19" i="1"/>
  <c r="M19" i="1"/>
  <c r="K22" i="1"/>
  <c r="I22" i="1"/>
  <c r="D31" i="2"/>
  <c r="L72" i="1"/>
  <c r="M72" i="1"/>
  <c r="K72" i="1"/>
  <c r="K37" i="1"/>
  <c r="K62" i="1"/>
  <c r="J14" i="1"/>
  <c r="F28" i="4"/>
  <c r="F68" i="4"/>
  <c r="F58" i="4"/>
  <c r="G23" i="4"/>
  <c r="H23" i="4"/>
  <c r="F13" i="4"/>
  <c r="F68" i="5"/>
  <c r="F77" i="5"/>
  <c r="G76" i="3"/>
  <c r="F76" i="3"/>
  <c r="G37" i="3"/>
  <c r="F12" i="3"/>
  <c r="F17" i="3"/>
  <c r="F22" i="3"/>
  <c r="G62" i="3"/>
  <c r="F32" i="3"/>
  <c r="F72" i="3"/>
  <c r="H34" i="1"/>
  <c r="J9" i="1"/>
  <c r="H14" i="1"/>
  <c r="J19" i="1"/>
  <c r="H19" i="1"/>
  <c r="H9" i="1"/>
  <c r="F67" i="1"/>
  <c r="J44" i="2"/>
  <c r="H54" i="1"/>
  <c r="G27" i="1"/>
  <c r="F57" i="1"/>
  <c r="G32" i="1"/>
  <c r="F32" i="1"/>
  <c r="J32" i="1"/>
  <c r="H49" i="1"/>
  <c r="F72" i="1"/>
  <c r="G12" i="1"/>
  <c r="I57" i="1"/>
  <c r="G52" i="1"/>
  <c r="G72" i="1"/>
  <c r="H24" i="1"/>
  <c r="M62" i="1"/>
  <c r="I32" i="1"/>
  <c r="M17" i="1"/>
  <c r="H39" i="1"/>
  <c r="H59" i="1"/>
  <c r="G42" i="1"/>
  <c r="G62" i="1"/>
  <c r="H64" i="1"/>
  <c r="E22" i="1"/>
  <c r="H44" i="1"/>
  <c r="J39" i="1"/>
  <c r="J44" i="1"/>
  <c r="J29" i="1"/>
  <c r="J64" i="1"/>
  <c r="H29" i="1"/>
  <c r="G37" i="1"/>
  <c r="J69" i="1"/>
  <c r="J49" i="1"/>
  <c r="H69" i="1"/>
  <c r="F52" i="1"/>
  <c r="I62" i="1"/>
  <c r="F47" i="1"/>
  <c r="H52" i="1"/>
  <c r="G68" i="4"/>
  <c r="H68" i="4"/>
  <c r="G48" i="4"/>
  <c r="H48" i="4"/>
  <c r="G43" i="4"/>
  <c r="H43" i="4"/>
  <c r="G38" i="4"/>
  <c r="H38" i="4"/>
  <c r="E75" i="4"/>
  <c r="F33" i="4"/>
  <c r="G33" i="4"/>
  <c r="H33" i="4"/>
  <c r="G28" i="4"/>
  <c r="H28" i="4"/>
  <c r="D75" i="4"/>
  <c r="G18" i="4"/>
  <c r="H18" i="4"/>
  <c r="F18" i="4"/>
  <c r="C75" i="4"/>
  <c r="G13" i="4"/>
  <c r="H13" i="4"/>
  <c r="E75" i="5"/>
  <c r="D75" i="5"/>
  <c r="C75" i="5"/>
  <c r="G67" i="3"/>
  <c r="G57" i="3"/>
  <c r="G52" i="3"/>
  <c r="G47" i="3"/>
  <c r="D74" i="3"/>
  <c r="F42" i="3"/>
  <c r="F37" i="3"/>
  <c r="E74" i="3"/>
  <c r="F27" i="3"/>
  <c r="G22" i="3"/>
  <c r="G17" i="3"/>
  <c r="C74" i="3"/>
  <c r="K44" i="2"/>
  <c r="H44" i="2"/>
  <c r="G44" i="2"/>
  <c r="O32" i="2"/>
  <c r="B44" i="2"/>
  <c r="L44" i="2"/>
  <c r="M44" i="2"/>
  <c r="D44" i="2"/>
  <c r="E44" i="2"/>
  <c r="N44" i="2"/>
  <c r="F44" i="2"/>
  <c r="M23" i="2"/>
  <c r="L23" i="2"/>
  <c r="E23" i="2"/>
  <c r="B23" i="2"/>
  <c r="I23" i="2"/>
  <c r="H23" i="2"/>
  <c r="N23" i="2"/>
  <c r="C23" i="2"/>
  <c r="K23" i="2"/>
  <c r="M67" i="1"/>
  <c r="F27" i="1"/>
  <c r="G47" i="1"/>
  <c r="H47" i="1"/>
  <c r="J76" i="1"/>
  <c r="I76" i="1"/>
  <c r="J72" i="1"/>
  <c r="I72" i="1"/>
  <c r="H72" i="1"/>
  <c r="E72" i="1"/>
  <c r="I67" i="1"/>
  <c r="H67" i="1"/>
  <c r="E67" i="1"/>
  <c r="H62" i="1"/>
  <c r="J62" i="1"/>
  <c r="M57" i="1"/>
  <c r="H57" i="1"/>
  <c r="J57" i="1"/>
  <c r="E57" i="1"/>
  <c r="M52" i="1"/>
  <c r="I52" i="1"/>
  <c r="M47" i="1"/>
  <c r="J47" i="1"/>
  <c r="M42" i="1"/>
  <c r="H42" i="1"/>
  <c r="J42" i="1"/>
  <c r="E42" i="1"/>
  <c r="I37" i="1"/>
  <c r="H37" i="1"/>
  <c r="J37" i="1"/>
  <c r="E37" i="1"/>
  <c r="M32" i="1"/>
  <c r="H32" i="1"/>
  <c r="I27" i="1"/>
  <c r="H27" i="1"/>
  <c r="J27" i="1"/>
  <c r="E27" i="1"/>
  <c r="M22" i="1"/>
  <c r="J22" i="1"/>
  <c r="L74" i="1"/>
  <c r="K74" i="1"/>
  <c r="F74" i="1"/>
  <c r="H17" i="1"/>
  <c r="D74" i="1"/>
  <c r="E17" i="1"/>
  <c r="I17" i="1"/>
  <c r="C74" i="1"/>
  <c r="M12" i="1"/>
  <c r="H12" i="1"/>
  <c r="J12" i="1"/>
  <c r="I12" i="1"/>
  <c r="E12" i="1"/>
  <c r="O31" i="2"/>
  <c r="O10" i="2"/>
  <c r="O23" i="2"/>
  <c r="C44" i="2"/>
  <c r="F75" i="4"/>
  <c r="G75" i="4"/>
  <c r="H75" i="4"/>
  <c r="G75" i="5"/>
  <c r="H75" i="5"/>
  <c r="F75" i="5"/>
  <c r="F74" i="3"/>
  <c r="G74" i="3"/>
  <c r="O44" i="2"/>
  <c r="G74" i="1"/>
  <c r="H74" i="1"/>
  <c r="J74" i="1"/>
  <c r="E74" i="1"/>
  <c r="M74" i="1"/>
  <c r="I74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<sst xmlns="http://schemas.openxmlformats.org/spreadsheetml/2006/main" count="241" uniqueCount="79">
  <si>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</si>
  <si>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</si>
  <si>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</si>
  <si>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</si>
  <si>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</si>
  <si>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</si>
  <si>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</si>
  <si>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</si>
  <si>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</si>
  <si>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</si>
  <si>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</si>
  <si>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</si>
  <si>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</si>
  <si>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</si>
  <si>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</si>
  <si>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</si>
  <si>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</si>
  <si>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</si>
  <si>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</si>
  <si>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</si>
  <si>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</si>
  <si>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</si>
  <si>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</si>
  <si>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</si>
  <si>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</si>
  <si>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</si>
  <si>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</si>
  <si>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</si>
  <si>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</si>
  <si>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</si>
  <si>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</si>
  <si>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</si>
  <si>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</si>
  <si>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</si>
  <si>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</si>
  <si>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</si>
  <si>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</si>
  <si>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</si>
  <si>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</si>
  <si>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</si>
  <si>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</si>
  <si>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</si>
  <si>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</si>
  <si>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</si>
  <si>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</si>
  <si>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</si>
  <si>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</si>
  <si>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</si>
  <si>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</si>
  <si>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</si>
  <si>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</si>
  <si>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</si>
  <si>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</si>
  <si>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</si>
  <si>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</si>
  <si>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</si>
  <si>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</si>
  <si>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</si>
  <si>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</si>
  <si>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</si>
  <si>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</si>
  <si>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</si>
  <si>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</si>
  <si>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</si>
  <si>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</si>
  <si>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</si>
  <si>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</si>
  <si>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</si>
  <si>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</si>
  <si>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</si>
  <si>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</si>
  <si>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2024 YTD ADMISSIONS, PATRONS AND AGR SUMMARY </t>
  </si>
  <si>
    <t>MONTH ENDED:  AUGUST 31, 2023</t>
  </si>
  <si>
    <t>(as reported on the tax remittal database dtd 9/8/23)</t>
  </si>
  <si>
    <t>FOR THE MONTH ENDED:  AUGUST 31, 2023</t>
  </si>
  <si>
    <t>THRU MONTH ENDED:   AUGUST 31, 2023</t>
  </si>
  <si>
    <t>(as reported on the tax remittal database as of 9/8/23)</t>
  </si>
  <si>
    <t>THRU MONTH ENDED:    AUGUST 31, 2023</t>
  </si>
  <si>
    <t>THRU MONTH ENDED:    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</si>
</sst>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2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48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72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73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DATE(2023,7,1)</f>
        <v>45108</v>
      </c>
      <c r="C9" s="21">
        <v>198971</v>
      </c>
      <c r="D9" s="22">
        <v>217943</v>
      </c>
      <c r="E9" s="23">
        <f>(+C9-D9)/D9</f>
        <v>-8.7050283789798247E-2</v>
      </c>
      <c r="F9" s="21">
        <f>+C9-94713</f>
        <v>104258</v>
      </c>
      <c r="G9" s="21">
        <f>+D9-101378</f>
        <v>116565</v>
      </c>
      <c r="H9" s="23">
        <f>(+F9-G9)/G9</f>
        <v>-0.1055805773602711</v>
      </c>
      <c r="I9" s="24">
        <f>K9/C9</f>
        <v>75.297311065431643</v>
      </c>
      <c r="J9" s="24">
        <f>K9/F9</f>
        <v>143.7010232308312</v>
      </c>
      <c r="K9" s="21">
        <v>14981981.279999999</v>
      </c>
      <c r="L9" s="21">
        <v>15995475.4</v>
      </c>
      <c r="M9" s="25">
        <f>(+K9-L9)/L9</f>
        <v>-6.3361300283704042E-2</v>
      </c>
      <c r="N9" s="10"/>
      <c r="R9" s="2"/>
    </row>
    <row r="10" spans="1:18" ht="15.75" x14ac:dyDescent="0.25">
      <c r="A10" s="19"/>
      <c r="B10" s="20">
        <f>DATE(2023,8,1)</f>
        <v>45139</v>
      </c>
      <c r="C10" s="21">
        <v>185586</v>
      </c>
      <c r="D10" s="22">
        <v>199444</v>
      </c>
      <c r="E10" s="23">
        <f>(+C10-D10)/D10</f>
        <v>-6.9483163193678421E-2</v>
      </c>
      <c r="F10" s="21">
        <f>+C10-87146</f>
        <v>98440</v>
      </c>
      <c r="G10" s="21">
        <f>+D10-93160</f>
        <v>106284</v>
      </c>
      <c r="H10" s="23">
        <f>(+F10-G10)/G10</f>
        <v>-7.3802265627940233E-2</v>
      </c>
      <c r="I10" s="24">
        <f>K10/C10</f>
        <v>76.121730733999328</v>
      </c>
      <c r="J10" s="24">
        <f>K10/F10</f>
        <v>143.51003169443317</v>
      </c>
      <c r="K10" s="21">
        <v>14127127.52</v>
      </c>
      <c r="L10" s="21">
        <v>15184238.189999999</v>
      </c>
      <c r="M10" s="25">
        <f>(+K10-L10)/L10</f>
        <v>-6.9618946750729285E-2</v>
      </c>
      <c r="N10" s="10"/>
      <c r="R10" s="2"/>
    </row>
    <row r="11" spans="1:18" ht="15.75" customHeight="1" thickBot="1" x14ac:dyDescent="0.3">
      <c r="A11" s="19"/>
      <c r="B11" s="20"/>
      <c r="C11" s="21"/>
      <c r="D11" s="21"/>
      <c r="E11" s="23"/>
      <c r="F11" s="21"/>
      <c r="G11" s="21"/>
      <c r="H11" s="23"/>
      <c r="I11" s="24"/>
      <c r="J11" s="24"/>
      <c r="K11" s="21"/>
      <c r="L11" s="21"/>
      <c r="M11" s="25"/>
      <c r="N11" s="10"/>
      <c r="R11" s="2"/>
    </row>
    <row r="12" spans="1:18" ht="17.25" thickTop="1" thickBot="1" x14ac:dyDescent="0.3">
      <c r="A12" s="26" t="s">
        <v>14</v>
      </c>
      <c r="B12" s="27"/>
      <c r="C12" s="28">
        <f>SUM(C9:C11)</f>
        <v>384557</v>
      </c>
      <c r="D12" s="28">
        <f>SUM(D9:D11)</f>
        <v>417387</v>
      </c>
      <c r="E12" s="279">
        <f>(+C12-D12)/D12</f>
        <v>-7.865601947353415E-2</v>
      </c>
      <c r="F12" s="28">
        <f>SUM(F9:F11)</f>
        <v>202698</v>
      </c>
      <c r="G12" s="28">
        <f>SUM(G9:G11)</f>
        <v>222849</v>
      </c>
      <c r="H12" s="30">
        <f>(+F12-G12)/G12</f>
        <v>-9.0424457816727921E-2</v>
      </c>
      <c r="I12" s="31">
        <f>K12/C12</f>
        <v>75.695173407323225</v>
      </c>
      <c r="J12" s="31">
        <f>K12/F12</f>
        <v>143.60826845849488</v>
      </c>
      <c r="K12" s="28">
        <f>SUM(K9:K11)</f>
        <v>29109108.799999997</v>
      </c>
      <c r="L12" s="28">
        <f>SUM(L9:L11)</f>
        <v>31179713.59</v>
      </c>
      <c r="M12" s="32">
        <f>(+K12-L12)/L12</f>
        <v>-6.640871745095471E-2</v>
      </c>
      <c r="N12" s="10"/>
      <c r="R12" s="2"/>
    </row>
    <row r="13" spans="1:18" ht="15.75" customHeight="1" thickTop="1" x14ac:dyDescent="0.25">
      <c r="A13" s="15"/>
      <c r="B13" s="16"/>
      <c r="C13" s="16"/>
      <c r="D13" s="16"/>
      <c r="E13" s="17"/>
      <c r="F13" s="16"/>
      <c r="G13" s="16"/>
      <c r="H13" s="17"/>
      <c r="I13" s="16"/>
      <c r="J13" s="16"/>
      <c r="K13" s="195"/>
      <c r="L13" s="195"/>
      <c r="M13" s="18"/>
      <c r="N13" s="10"/>
      <c r="R13" s="2"/>
    </row>
    <row r="14" spans="1:18" ht="15.75" x14ac:dyDescent="0.25">
      <c r="A14" s="19" t="s">
        <v>15</v>
      </c>
      <c r="B14" s="20">
        <f>DATE(2023,7,1)</f>
        <v>45108</v>
      </c>
      <c r="C14" s="21">
        <v>114764</v>
      </c>
      <c r="D14" s="21">
        <v>114715</v>
      </c>
      <c r="E14" s="23">
        <f>(+C14-D14)/D14</f>
        <v>4.2714553458571243E-4</v>
      </c>
      <c r="F14" s="21">
        <f>+C14-56037</f>
        <v>58727</v>
      </c>
      <c r="G14" s="21">
        <f>+D14-55568</f>
        <v>59147</v>
      </c>
      <c r="H14" s="23">
        <f>(+F14-G14)/G14</f>
        <v>-7.1009518656905673E-3</v>
      </c>
      <c r="I14" s="24">
        <f>K14/C14</f>
        <v>71.4524525983758</v>
      </c>
      <c r="J14" s="24">
        <f>K14/F14</f>
        <v>139.63201372452193</v>
      </c>
      <c r="K14" s="21">
        <v>8200169.2699999996</v>
      </c>
      <c r="L14" s="21">
        <v>8395754.2100000009</v>
      </c>
      <c r="M14" s="25">
        <f>(+K14-L14)/L14</f>
        <v>-2.3295696265982199E-2</v>
      </c>
      <c r="N14" s="10"/>
      <c r="R14" s="2"/>
    </row>
    <row r="15" spans="1:18" ht="15.75" x14ac:dyDescent="0.25">
      <c r="A15" s="19"/>
      <c r="B15" s="20">
        <f>DATE(2023,8,1)</f>
        <v>45139</v>
      </c>
      <c r="C15" s="21">
        <v>103486</v>
      </c>
      <c r="D15" s="21">
        <v>103784</v>
      </c>
      <c r="E15" s="23">
        <f>(+C15-D15)/D15</f>
        <v>-2.8713481846912819E-3</v>
      </c>
      <c r="F15" s="21">
        <f>+C15-50126</f>
        <v>53360</v>
      </c>
      <c r="G15" s="21">
        <f>+D15-49858</f>
        <v>53926</v>
      </c>
      <c r="H15" s="23">
        <f>(+F15-G15)/G15</f>
        <v>-1.0495864703482551E-2</v>
      </c>
      <c r="I15" s="24">
        <f>K15/C15</f>
        <v>72.496831358831145</v>
      </c>
      <c r="J15" s="24">
        <f>K15/F15</f>
        <v>140.59983302098951</v>
      </c>
      <c r="K15" s="21">
        <v>7502407.0899999999</v>
      </c>
      <c r="L15" s="21">
        <v>7565961.5300000003</v>
      </c>
      <c r="M15" s="25">
        <f>(+K15-L15)/L15</f>
        <v>-8.4000479976006973E-3</v>
      </c>
      <c r="N15" s="10"/>
      <c r="R15" s="2"/>
    </row>
    <row r="16" spans="1:18" ht="15.75" customHeight="1" thickBot="1" x14ac:dyDescent="0.3">
      <c r="A16" s="19"/>
      <c r="B16" s="20"/>
      <c r="C16" s="21"/>
      <c r="D16" s="21"/>
      <c r="E16" s="23"/>
      <c r="F16" s="21"/>
      <c r="G16" s="21"/>
      <c r="H16" s="23"/>
      <c r="I16" s="24"/>
      <c r="J16" s="24"/>
      <c r="K16" s="21"/>
      <c r="L16" s="21"/>
      <c r="M16" s="25"/>
      <c r="N16" s="10"/>
      <c r="R16" s="2"/>
    </row>
    <row r="17" spans="1:18" ht="17.25" customHeight="1" thickTop="1" thickBot="1" x14ac:dyDescent="0.3">
      <c r="A17" s="26" t="s">
        <v>14</v>
      </c>
      <c r="B17" s="27"/>
      <c r="C17" s="28">
        <f>SUM(C14:C16)</f>
        <v>218250</v>
      </c>
      <c r="D17" s="28">
        <f>SUM(D14:D16)</f>
        <v>218499</v>
      </c>
      <c r="E17" s="279">
        <f>(+C17-D17)/D17</f>
        <v>-1.1395933162165503E-3</v>
      </c>
      <c r="F17" s="28">
        <f>SUM(F14:F16)</f>
        <v>112087</v>
      </c>
      <c r="G17" s="28">
        <f>SUM(G14:G16)</f>
        <v>113073</v>
      </c>
      <c r="H17" s="30">
        <f>(+F17-G17)/G17</f>
        <v>-8.7200304228241925E-3</v>
      </c>
      <c r="I17" s="31">
        <f>K17/C17</f>
        <v>71.947658006872842</v>
      </c>
      <c r="J17" s="31">
        <f>K17/F17</f>
        <v>140.09275259396719</v>
      </c>
      <c r="K17" s="28">
        <f>SUM(K14:K16)</f>
        <v>15702576.359999999</v>
      </c>
      <c r="L17" s="28">
        <f>SUM(L14:L16)</f>
        <v>15961715.740000002</v>
      </c>
      <c r="M17" s="32">
        <f>(+K17-L17)/L17</f>
        <v>-1.6235057948726674E-2</v>
      </c>
      <c r="N17" s="10"/>
      <c r="R17" s="2"/>
    </row>
    <row r="18" spans="1:18" ht="15.75" customHeight="1" thickTop="1" x14ac:dyDescent="0.25">
      <c r="A18" s="33"/>
      <c r="B18" s="34"/>
      <c r="C18" s="35"/>
      <c r="D18" s="35"/>
      <c r="E18" s="29"/>
      <c r="F18" s="35"/>
      <c r="G18" s="35"/>
      <c r="H18" s="29"/>
      <c r="I18" s="36"/>
      <c r="J18" s="36"/>
      <c r="K18" s="35"/>
      <c r="L18" s="35"/>
      <c r="M18" s="37"/>
      <c r="N18" s="10"/>
      <c r="R18" s="2"/>
    </row>
    <row r="19" spans="1:18" ht="15.75" customHeight="1" x14ac:dyDescent="0.25">
      <c r="A19" s="19" t="s">
        <v>62</v>
      </c>
      <c r="B19" s="20">
        <f>DATE(2023,7,1)</f>
        <v>45108</v>
      </c>
      <c r="C19" s="21">
        <v>62207</v>
      </c>
      <c r="D19" s="21">
        <v>56544</v>
      </c>
      <c r="E19" s="23">
        <f>(+C19-D19)/D19</f>
        <v>0.10015209394453876</v>
      </c>
      <c r="F19" s="21">
        <f>+C19-32355</f>
        <v>29852</v>
      </c>
      <c r="G19" s="21">
        <f>+D19-31773</f>
        <v>24771</v>
      </c>
      <c r="H19" s="23">
        <f>(+F19-G19)/G19</f>
        <v>0.20511888902345485</v>
      </c>
      <c r="I19" s="24">
        <f>K19/C19</f>
        <v>62.61233446396708</v>
      </c>
      <c r="J19" s="24">
        <f>K19/F19</f>
        <v>130.47452398499263</v>
      </c>
      <c r="K19" s="21">
        <v>3894925.49</v>
      </c>
      <c r="L19" s="21">
        <v>3786512.7</v>
      </c>
      <c r="M19" s="25">
        <f>(+K19-L19)/L19</f>
        <v>2.8631302359028145E-2</v>
      </c>
      <c r="N19" s="10"/>
      <c r="R19" s="2"/>
    </row>
    <row r="20" spans="1:18" ht="15.75" customHeight="1" x14ac:dyDescent="0.25">
      <c r="A20" s="19"/>
      <c r="B20" s="20">
        <f>DATE(2023,8,1)</f>
        <v>45139</v>
      </c>
      <c r="C20" s="21">
        <v>55791</v>
      </c>
      <c r="D20" s="21">
        <v>49669</v>
      </c>
      <c r="E20" s="23">
        <f>(+C20-D20)/D20</f>
        <v>0.12325595441824881</v>
      </c>
      <c r="F20" s="21">
        <f>+C20-28978</f>
        <v>26813</v>
      </c>
      <c r="G20" s="21">
        <f>+D20-27651</f>
        <v>22018</v>
      </c>
      <c r="H20" s="23">
        <f>(+F20-G20)/G20</f>
        <v>0.21777636479244256</v>
      </c>
      <c r="I20" s="24">
        <f>K20/C20</f>
        <v>67.347290960907671</v>
      </c>
      <c r="J20" s="24">
        <f>K20/F20</f>
        <v>140.13249953380821</v>
      </c>
      <c r="K20" s="21">
        <v>3757372.71</v>
      </c>
      <c r="L20" s="21">
        <v>3497013.51</v>
      </c>
      <c r="M20" s="25">
        <f>(+K20-L20)/L20</f>
        <v>7.4451871362658878E-2</v>
      </c>
      <c r="N20" s="10"/>
      <c r="R20" s="2"/>
    </row>
    <row r="21" spans="1:18" ht="15.75" customHeight="1" thickBot="1" x14ac:dyDescent="0.25">
      <c r="A21" s="38"/>
      <c r="B21" s="20"/>
      <c r="C21" s="21"/>
      <c r="D21" s="21"/>
      <c r="E21" s="23"/>
      <c r="F21" s="21"/>
      <c r="G21" s="21"/>
      <c r="H21" s="23"/>
      <c r="I21" s="24"/>
      <c r="J21" s="24"/>
      <c r="K21" s="21"/>
      <c r="L21" s="21"/>
      <c r="M21" s="25"/>
      <c r="N21" s="10"/>
      <c r="R21" s="2"/>
    </row>
    <row r="22" spans="1:18" ht="17.25" customHeight="1" thickTop="1" thickBot="1" x14ac:dyDescent="0.3">
      <c r="A22" s="39" t="s">
        <v>14</v>
      </c>
      <c r="B22" s="40"/>
      <c r="C22" s="41">
        <f>SUM(C19:C21)</f>
        <v>117998</v>
      </c>
      <c r="D22" s="41">
        <f>SUM(D19:D21)</f>
        <v>106213</v>
      </c>
      <c r="E22" s="280">
        <f>(+C22-D22)/D22</f>
        <v>0.11095628595369682</v>
      </c>
      <c r="F22" s="41">
        <f>SUM(F19:F21)</f>
        <v>56665</v>
      </c>
      <c r="G22" s="41">
        <f>SUM(G19:G21)</f>
        <v>46789</v>
      </c>
      <c r="H22" s="42">
        <f>(+F22-G22)/G22</f>
        <v>0.21107525273034261</v>
      </c>
      <c r="I22" s="43">
        <f>K22/C22</f>
        <v>64.851083916676558</v>
      </c>
      <c r="J22" s="43">
        <f>K22/F22</f>
        <v>135.04452836848142</v>
      </c>
      <c r="K22" s="41">
        <f>SUM(K19:K21)</f>
        <v>7652298.2000000002</v>
      </c>
      <c r="L22" s="41">
        <f>SUM(L19:L21)</f>
        <v>7283526.21</v>
      </c>
      <c r="M22" s="44">
        <f>(+K22-L22)/L22</f>
        <v>5.0630969034434245E-2</v>
      </c>
      <c r="N22" s="10"/>
      <c r="R22" s="2"/>
    </row>
    <row r="23" spans="1:18" ht="15.75" customHeight="1" thickTop="1" x14ac:dyDescent="0.2">
      <c r="A23" s="38"/>
      <c r="B23" s="45"/>
      <c r="C23" s="21"/>
      <c r="D23" s="21"/>
      <c r="E23" s="23"/>
      <c r="F23" s="21"/>
      <c r="G23" s="21"/>
      <c r="H23" s="23"/>
      <c r="I23" s="24"/>
      <c r="J23" s="24"/>
      <c r="K23" s="21"/>
      <c r="L23" s="21"/>
      <c r="M23" s="25"/>
      <c r="N23" s="10"/>
      <c r="R23" s="2"/>
    </row>
    <row r="24" spans="1:18" ht="15.75" customHeight="1" x14ac:dyDescent="0.25">
      <c r="A24" s="177" t="s">
        <v>58</v>
      </c>
      <c r="B24" s="20">
        <f>DATE(2023,7,1)</f>
        <v>45108</v>
      </c>
      <c r="C24" s="21">
        <v>354470</v>
      </c>
      <c r="D24" s="21">
        <v>327697</v>
      </c>
      <c r="E24" s="23">
        <f>(+C24-D24)/D24</f>
        <v>8.1700473303081805E-2</v>
      </c>
      <c r="F24" s="21">
        <f>+C24-176639</f>
        <v>177831</v>
      </c>
      <c r="G24" s="21">
        <f>+D24-165744</f>
        <v>161953</v>
      </c>
      <c r="H24" s="23">
        <f>(+F24-G24)/G24</f>
        <v>9.804078961180096E-2</v>
      </c>
      <c r="I24" s="24">
        <f>K24/C24</f>
        <v>62.797936581375005</v>
      </c>
      <c r="J24" s="24">
        <f>K24/F24</f>
        <v>125.17493901513234</v>
      </c>
      <c r="K24" s="21">
        <v>22259984.579999998</v>
      </c>
      <c r="L24" s="21">
        <v>21404058.239999998</v>
      </c>
      <c r="M24" s="25">
        <f>(+K24-L24)/L24</f>
        <v>3.9988974539437616E-2</v>
      </c>
      <c r="N24" s="10"/>
      <c r="R24" s="2"/>
    </row>
    <row r="25" spans="1:18" ht="15.75" customHeight="1" x14ac:dyDescent="0.25">
      <c r="A25" s="177"/>
      <c r="B25" s="20">
        <f>DATE(2023,8,1)</f>
        <v>45139</v>
      </c>
      <c r="C25" s="21">
        <v>331446</v>
      </c>
      <c r="D25" s="21">
        <v>302775</v>
      </c>
      <c r="E25" s="23">
        <f>(+C25-D25)/D25</f>
        <v>9.4694079762199651E-2</v>
      </c>
      <c r="F25" s="21">
        <f>+C25-167376</f>
        <v>164070</v>
      </c>
      <c r="G25" s="21">
        <f>+D25-150422</f>
        <v>152353</v>
      </c>
      <c r="H25" s="23">
        <f>(+F25-G25)/G25</f>
        <v>7.6906920113158264E-2</v>
      </c>
      <c r="I25" s="24">
        <f>K25/C25</f>
        <v>60.207269600477908</v>
      </c>
      <c r="J25" s="24">
        <f>K25/F25</f>
        <v>121.62771183031633</v>
      </c>
      <c r="K25" s="21">
        <v>19955458.68</v>
      </c>
      <c r="L25" s="21">
        <v>19341318.82</v>
      </c>
      <c r="M25" s="25">
        <f>(+K25-L25)/L25</f>
        <v>3.1752739599377508E-2</v>
      </c>
      <c r="N25" s="10"/>
      <c r="R25" s="2"/>
    </row>
    <row r="26" spans="1:18" ht="15.75" thickBot="1" x14ac:dyDescent="0.25">
      <c r="A26" s="38"/>
      <c r="B26" s="45"/>
      <c r="C26" s="21"/>
      <c r="D26" s="21"/>
      <c r="E26" s="23"/>
      <c r="F26" s="21"/>
      <c r="G26" s="21"/>
      <c r="H26" s="23"/>
      <c r="I26" s="24"/>
      <c r="J26" s="24"/>
      <c r="K26" s="21"/>
      <c r="L26" s="21"/>
      <c r="M26" s="25"/>
      <c r="N26" s="10"/>
      <c r="R26" s="2"/>
    </row>
    <row r="27" spans="1:18" ht="17.25" thickTop="1" thickBot="1" x14ac:dyDescent="0.3">
      <c r="A27" s="39" t="s">
        <v>14</v>
      </c>
      <c r="B27" s="40"/>
      <c r="C27" s="41">
        <f>SUM(C24:C26)</f>
        <v>685916</v>
      </c>
      <c r="D27" s="41">
        <f>SUM(D24:D26)</f>
        <v>630472</v>
      </c>
      <c r="E27" s="280">
        <f>(+C27-D27)/D27</f>
        <v>8.7940463652628503E-2</v>
      </c>
      <c r="F27" s="41">
        <f>SUM(F24:F26)</f>
        <v>341901</v>
      </c>
      <c r="G27" s="41">
        <f>SUM(G24:G26)</f>
        <v>314306</v>
      </c>
      <c r="H27" s="42">
        <f>(+F27-G27)/G27</f>
        <v>8.7796605855440246E-2</v>
      </c>
      <c r="I27" s="43">
        <f>K27/C27</f>
        <v>61.546083281334738</v>
      </c>
      <c r="J27" s="43">
        <f>K27/F27</f>
        <v>123.47271069695613</v>
      </c>
      <c r="K27" s="41">
        <f>SUM(K24:K26)</f>
        <v>42215443.259999998</v>
      </c>
      <c r="L27" s="41">
        <f>SUM(L24:L26)</f>
        <v>40745377.060000002</v>
      </c>
      <c r="M27" s="44">
        <f>(+K27-L27)/L27</f>
        <v>3.6079337241995212E-2</v>
      </c>
      <c r="N27" s="10"/>
      <c r="R27" s="2"/>
    </row>
    <row r="28" spans="1:18" ht="15.75" thickTop="1" x14ac:dyDescent="0.2">
      <c r="A28" s="38"/>
      <c r="B28" s="45"/>
      <c r="C28" s="21"/>
      <c r="D28" s="21"/>
      <c r="E28" s="23"/>
      <c r="F28" s="21"/>
      <c r="G28" s="21"/>
      <c r="H28" s="23"/>
      <c r="I28" s="24"/>
      <c r="J28" s="24"/>
      <c r="K28" s="21"/>
      <c r="L28" s="21"/>
      <c r="M28" s="25"/>
      <c r="N28" s="10"/>
      <c r="R28" s="2"/>
    </row>
    <row r="29" spans="1:18" ht="15.75" x14ac:dyDescent="0.25">
      <c r="A29" s="19" t="s">
        <v>60</v>
      </c>
      <c r="B29" s="20">
        <f>DATE(2023,7,1)</f>
        <v>45108</v>
      </c>
      <c r="C29" s="21">
        <v>199698</v>
      </c>
      <c r="D29" s="21">
        <v>219130</v>
      </c>
      <c r="E29" s="23">
        <f>(+C29-D29)/D29</f>
        <v>-8.8677953726098657E-2</v>
      </c>
      <c r="F29" s="21">
        <f>+C29-94634</f>
        <v>105064</v>
      </c>
      <c r="G29" s="21">
        <f>+D29-103416</f>
        <v>115714</v>
      </c>
      <c r="H29" s="23">
        <f>(+F29-G29)/G29</f>
        <v>-9.2037264289541454E-2</v>
      </c>
      <c r="I29" s="24">
        <f>K29/C29</f>
        <v>76.994882722911598</v>
      </c>
      <c r="J29" s="24">
        <f>K29/F29</f>
        <v>146.34626599025356</v>
      </c>
      <c r="K29" s="21">
        <v>15375724.09</v>
      </c>
      <c r="L29" s="21">
        <v>15073309.060000001</v>
      </c>
      <c r="M29" s="25">
        <f>(+K29-L29)/L29</f>
        <v>2.0062948938167617E-2</v>
      </c>
      <c r="N29" s="10"/>
      <c r="R29" s="2"/>
    </row>
    <row r="30" spans="1:18" ht="15.75" x14ac:dyDescent="0.25">
      <c r="A30" s="19"/>
      <c r="B30" s="20">
        <f>DATE(2023,8,1)</f>
        <v>45139</v>
      </c>
      <c r="C30" s="21">
        <v>185862</v>
      </c>
      <c r="D30" s="21">
        <v>204381</v>
      </c>
      <c r="E30" s="23">
        <f>(+C30-D30)/D30</f>
        <v>-9.0610183921205983E-2</v>
      </c>
      <c r="F30" s="21">
        <f>+C30-90658</f>
        <v>95204</v>
      </c>
      <c r="G30" s="21">
        <f>+D30-97907</f>
        <v>106474</v>
      </c>
      <c r="H30" s="23">
        <f>(+F30-G30)/G30</f>
        <v>-0.10584743693296016</v>
      </c>
      <c r="I30" s="24">
        <f>K30/C30</f>
        <v>75.718013848984725</v>
      </c>
      <c r="J30" s="24">
        <f>K30/F30</f>
        <v>147.8204853787656</v>
      </c>
      <c r="K30" s="21">
        <v>14073101.49</v>
      </c>
      <c r="L30" s="21">
        <v>15308950.33</v>
      </c>
      <c r="M30" s="25">
        <f>(+K30-L30)/L30</f>
        <v>-8.0727209466359265E-2</v>
      </c>
      <c r="N30" s="10"/>
      <c r="R30" s="2"/>
    </row>
    <row r="31" spans="1:18" ht="15.75" thickBot="1" x14ac:dyDescent="0.25">
      <c r="A31" s="38"/>
      <c r="B31" s="20"/>
      <c r="C31" s="21"/>
      <c r="D31" s="21"/>
      <c r="E31" s="23"/>
      <c r="F31" s="21"/>
      <c r="G31" s="21"/>
      <c r="H31" s="23"/>
      <c r="I31" s="24"/>
      <c r="J31" s="24"/>
      <c r="K31" s="21"/>
      <c r="L31" s="21"/>
      <c r="M31" s="25"/>
      <c r="N31" s="10"/>
      <c r="R31" s="2"/>
    </row>
    <row r="32" spans="1:18" ht="17.25" thickTop="1" thickBot="1" x14ac:dyDescent="0.3">
      <c r="A32" s="39" t="s">
        <v>14</v>
      </c>
      <c r="B32" s="40"/>
      <c r="C32" s="41">
        <f>SUM(C29:C31)</f>
        <v>385560</v>
      </c>
      <c r="D32" s="41">
        <f>SUM(D29:D31)</f>
        <v>423511</v>
      </c>
      <c r="E32" s="281">
        <f>(+C32-D32)/D32</f>
        <v>-8.9610423342014731E-2</v>
      </c>
      <c r="F32" s="47">
        <f>SUM(F29:F31)</f>
        <v>200268</v>
      </c>
      <c r="G32" s="48">
        <f>SUM(G29:G31)</f>
        <v>222188</v>
      </c>
      <c r="H32" s="49">
        <f>(+F32-G32)/G32</f>
        <v>-9.8655192899706548E-2</v>
      </c>
      <c r="I32" s="50">
        <f>K32/C32</f>
        <v>76.379358802780374</v>
      </c>
      <c r="J32" s="51">
        <f>K32/F32</f>
        <v>147.04708480635946</v>
      </c>
      <c r="K32" s="48">
        <f>SUM(K29:K31)</f>
        <v>29448825.579999998</v>
      </c>
      <c r="L32" s="47">
        <f>SUM(L29:L31)</f>
        <v>30382259.390000001</v>
      </c>
      <c r="M32" s="44">
        <f>(+K32-L32)/L32</f>
        <v>-3.0722988636823774E-2</v>
      </c>
      <c r="N32" s="10"/>
      <c r="R32" s="2"/>
    </row>
    <row r="33" spans="1:18" ht="15.75" customHeight="1" thickTop="1" x14ac:dyDescent="0.25">
      <c r="A33" s="273"/>
      <c r="B33" s="45"/>
      <c r="C33" s="21"/>
      <c r="D33" s="21"/>
      <c r="E33" s="23"/>
      <c r="F33" s="21"/>
      <c r="G33" s="21"/>
      <c r="H33" s="23"/>
      <c r="I33" s="24"/>
      <c r="J33" s="24"/>
      <c r="K33" s="21"/>
      <c r="L33" s="21"/>
      <c r="M33" s="25"/>
      <c r="N33" s="10"/>
      <c r="R33" s="2"/>
    </row>
    <row r="34" spans="1:18" ht="15.75" x14ac:dyDescent="0.25">
      <c r="A34" s="274" t="s">
        <v>61</v>
      </c>
      <c r="B34" s="20">
        <f>DATE(2023,7,1)</f>
        <v>45108</v>
      </c>
      <c r="C34" s="21">
        <v>94450</v>
      </c>
      <c r="D34" s="21">
        <v>95268</v>
      </c>
      <c r="E34" s="23">
        <f>(+C34-D34)/D34</f>
        <v>-8.5863039005752186E-3</v>
      </c>
      <c r="F34" s="21">
        <f>+C34-47449</f>
        <v>47001</v>
      </c>
      <c r="G34" s="21">
        <f>+D34-47922</f>
        <v>47346</v>
      </c>
      <c r="H34" s="23">
        <f>(+F34-G34)/G34</f>
        <v>-7.2867824103408944E-3</v>
      </c>
      <c r="I34" s="24">
        <f>K34/C34</f>
        <v>66.529558814187396</v>
      </c>
      <c r="J34" s="24">
        <f>K34/F34</f>
        <v>133.69325822854833</v>
      </c>
      <c r="K34" s="21">
        <v>6283716.8300000001</v>
      </c>
      <c r="L34" s="21">
        <v>6260150.0999999996</v>
      </c>
      <c r="M34" s="25">
        <f>(+K34-L34)/L34</f>
        <v>3.7645630893100228E-3</v>
      </c>
      <c r="N34" s="10"/>
      <c r="R34" s="2"/>
    </row>
    <row r="35" spans="1:18" ht="15.75" x14ac:dyDescent="0.25">
      <c r="A35" s="274"/>
      <c r="B35" s="20">
        <f>DATE(2023,8,1)</f>
        <v>45139</v>
      </c>
      <c r="C35" s="21">
        <v>85640</v>
      </c>
      <c r="D35" s="21">
        <v>85207</v>
      </c>
      <c r="E35" s="23">
        <f>(+C35-D35)/D35</f>
        <v>5.0817421103899916E-3</v>
      </c>
      <c r="F35" s="21">
        <f>+C35-42807</f>
        <v>42833</v>
      </c>
      <c r="G35" s="21">
        <f>+D35-42477</f>
        <v>42730</v>
      </c>
      <c r="H35" s="23">
        <f>(+F35-G35)/G35</f>
        <v>2.4104844371635853E-3</v>
      </c>
      <c r="I35" s="24">
        <f>K35/C35</f>
        <v>70.000778608127035</v>
      </c>
      <c r="J35" s="24">
        <f>K35/F35</f>
        <v>139.95906614059254</v>
      </c>
      <c r="K35" s="21">
        <v>5994866.6799999997</v>
      </c>
      <c r="L35" s="21">
        <v>5465144.5899999999</v>
      </c>
      <c r="M35" s="25">
        <f>(+K35-L35)/L35</f>
        <v>9.6927369674587122E-2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7.45" customHeight="1" thickTop="1" thickBot="1" x14ac:dyDescent="0.3">
      <c r="A37" s="39" t="s">
        <v>14</v>
      </c>
      <c r="B37" s="52"/>
      <c r="C37" s="47">
        <f>SUM(C34:C36)</f>
        <v>180090</v>
      </c>
      <c r="D37" s="48">
        <f>SUM(D34:D36)</f>
        <v>180475</v>
      </c>
      <c r="E37" s="281">
        <f>(+C37-D37)/D37</f>
        <v>-2.1332594542180358E-3</v>
      </c>
      <c r="F37" s="48">
        <f>SUM(F34:F36)</f>
        <v>89834</v>
      </c>
      <c r="G37" s="47">
        <f>SUM(G34:G36)</f>
        <v>90076</v>
      </c>
      <c r="H37" s="46">
        <f>(+F37-G37)/G37</f>
        <v>-2.6866201873973088E-3</v>
      </c>
      <c r="I37" s="51">
        <f>K37/C37</f>
        <v>68.180262701982343</v>
      </c>
      <c r="J37" s="50">
        <f>K37/F37</f>
        <v>136.68080581962286</v>
      </c>
      <c r="K37" s="47">
        <f>SUM(K34:K36)</f>
        <v>12278583.51</v>
      </c>
      <c r="L37" s="48">
        <f>SUM(L34:L36)</f>
        <v>11725294.689999999</v>
      </c>
      <c r="M37" s="44">
        <f>(+K37-L37)/L37</f>
        <v>4.7187625951258742E-2</v>
      </c>
      <c r="N37" s="10"/>
      <c r="R37" s="2"/>
    </row>
    <row r="38" spans="1:18" ht="15.75" customHeight="1" thickTop="1" x14ac:dyDescent="0.25">
      <c r="A38" s="19"/>
      <c r="B38" s="45"/>
      <c r="C38" s="21"/>
      <c r="D38" s="21"/>
      <c r="E38" s="23"/>
      <c r="F38" s="21"/>
      <c r="G38" s="21"/>
      <c r="H38" s="23"/>
      <c r="I38" s="24"/>
      <c r="J38" s="24"/>
      <c r="K38" s="21"/>
      <c r="L38" s="21"/>
      <c r="M38" s="25"/>
      <c r="N38" s="10"/>
      <c r="R38" s="2"/>
    </row>
    <row r="39" spans="1:18" ht="15.75" x14ac:dyDescent="0.25">
      <c r="A39" s="19" t="s">
        <v>67</v>
      </c>
      <c r="B39" s="20">
        <f>DATE(2023,7,1)</f>
        <v>45108</v>
      </c>
      <c r="C39" s="21">
        <v>219120</v>
      </c>
      <c r="D39" s="21">
        <v>220596</v>
      </c>
      <c r="E39" s="23">
        <f>(+C39-D39)/D39</f>
        <v>-6.6909644780503725E-3</v>
      </c>
      <c r="F39" s="21">
        <f>+C39-104679</f>
        <v>114441</v>
      </c>
      <c r="G39" s="21">
        <f>+D39-105104</f>
        <v>115492</v>
      </c>
      <c r="H39" s="23">
        <f>(+F39-G39)/G39</f>
        <v>-9.1001974162712562E-3</v>
      </c>
      <c r="I39" s="24">
        <f>K39/C39</f>
        <v>49.308570098576126</v>
      </c>
      <c r="J39" s="24">
        <f>K39/F39</f>
        <v>94.411040448790217</v>
      </c>
      <c r="K39" s="21">
        <v>10804493.880000001</v>
      </c>
      <c r="L39" s="21">
        <v>10606782.82</v>
      </c>
      <c r="M39" s="25">
        <f>(+K39-L39)/L39</f>
        <v>1.8640059229571414E-2</v>
      </c>
      <c r="N39" s="10"/>
      <c r="R39" s="2"/>
    </row>
    <row r="40" spans="1:18" ht="15.75" x14ac:dyDescent="0.25">
      <c r="A40" s="19"/>
      <c r="B40" s="20">
        <f>DATE(2023,8,1)</f>
        <v>45139</v>
      </c>
      <c r="C40" s="21">
        <v>218088</v>
      </c>
      <c r="D40" s="21">
        <v>204208</v>
      </c>
      <c r="E40" s="23">
        <f>(+C40-D40)/D40</f>
        <v>6.7969913029851919E-2</v>
      </c>
      <c r="F40" s="21">
        <f>+C40-101100</f>
        <v>116988</v>
      </c>
      <c r="G40" s="21">
        <f>+D40-95602</f>
        <v>108606</v>
      </c>
      <c r="H40" s="23">
        <f>(+F40-G40)/G40</f>
        <v>7.7178056460969008E-2</v>
      </c>
      <c r="I40" s="24">
        <f>K40/C40</f>
        <v>49.852023770221194</v>
      </c>
      <c r="J40" s="24">
        <f>K40/F40</f>
        <v>92.933703969637918</v>
      </c>
      <c r="K40" s="21">
        <v>10872128.16</v>
      </c>
      <c r="L40" s="21">
        <v>10300469.970000001</v>
      </c>
      <c r="M40" s="25">
        <f>(+K40-L40)/L40</f>
        <v>5.5498262862272045E-2</v>
      </c>
      <c r="N40" s="10"/>
      <c r="R40" s="2"/>
    </row>
    <row r="41" spans="1:18" ht="15.75" customHeight="1" thickBot="1" x14ac:dyDescent="0.3">
      <c r="A41" s="19"/>
      <c r="B41" s="45"/>
      <c r="C41" s="21"/>
      <c r="D41" s="21"/>
      <c r="E41" s="23"/>
      <c r="F41" s="21"/>
      <c r="G41" s="21"/>
      <c r="H41" s="23"/>
      <c r="I41" s="24"/>
      <c r="J41" s="24"/>
      <c r="K41" s="21"/>
      <c r="L41" s="21"/>
      <c r="M41" s="25"/>
      <c r="N41" s="10"/>
      <c r="R41" s="2"/>
    </row>
    <row r="42" spans="1:18" ht="17.45" customHeight="1" thickTop="1" thickBot="1" x14ac:dyDescent="0.3">
      <c r="A42" s="39" t="s">
        <v>14</v>
      </c>
      <c r="B42" s="52"/>
      <c r="C42" s="47">
        <f>SUM(C39:C41)</f>
        <v>437208</v>
      </c>
      <c r="D42" s="48">
        <f>SUM(D39:D41)</f>
        <v>424804</v>
      </c>
      <c r="E42" s="281">
        <f>(+C42-D42)/D42</f>
        <v>2.9199348405382249E-2</v>
      </c>
      <c r="F42" s="48">
        <f>SUM(F39:F41)</f>
        <v>231429</v>
      </c>
      <c r="G42" s="47">
        <f>SUM(G39:G41)</f>
        <v>224098</v>
      </c>
      <c r="H42" s="53">
        <f>(+F42-G42)/G42</f>
        <v>3.2713366473596371E-2</v>
      </c>
      <c r="I42" s="51">
        <f>K42/C42</f>
        <v>49.579655541527146</v>
      </c>
      <c r="J42" s="50">
        <f>K42/F42</f>
        <v>93.66424276992079</v>
      </c>
      <c r="K42" s="47">
        <f>SUM(K39:K41)</f>
        <v>21676622.039999999</v>
      </c>
      <c r="L42" s="48">
        <f>SUM(L39:L41)</f>
        <v>20907252.789999999</v>
      </c>
      <c r="M42" s="44">
        <f>(+K42-L42)/L42</f>
        <v>3.6799155667548614E-2</v>
      </c>
      <c r="N42" s="10"/>
      <c r="R42" s="2"/>
    </row>
    <row r="43" spans="1:18" ht="15.75" customHeight="1" thickTop="1" x14ac:dyDescent="0.25">
      <c r="A43" s="19"/>
      <c r="B43" s="45"/>
      <c r="C43" s="21"/>
      <c r="D43" s="21"/>
      <c r="E43" s="23"/>
      <c r="F43" s="21"/>
      <c r="G43" s="21"/>
      <c r="H43" s="23"/>
      <c r="I43" s="24"/>
      <c r="J43" s="24"/>
      <c r="K43" s="21"/>
      <c r="L43" s="21"/>
      <c r="M43" s="25"/>
      <c r="N43" s="10"/>
      <c r="R43" s="2"/>
    </row>
    <row r="44" spans="1:18" ht="15.75" customHeight="1" x14ac:dyDescent="0.25">
      <c r="A44" s="19" t="s">
        <v>69</v>
      </c>
      <c r="B44" s="20">
        <f>DATE(2023,7,1)</f>
        <v>45108</v>
      </c>
      <c r="C44" s="21">
        <v>227955</v>
      </c>
      <c r="D44" s="21">
        <v>226404</v>
      </c>
      <c r="E44" s="23">
        <f>(+C44-D44)/D44</f>
        <v>6.8505856786982566E-3</v>
      </c>
      <c r="F44" s="21">
        <f>+C44-105186</f>
        <v>122769</v>
      </c>
      <c r="G44" s="21">
        <f>+D44-105902</f>
        <v>120502</v>
      </c>
      <c r="H44" s="23">
        <f>(+F44-G44)/G44</f>
        <v>1.8812965759904401E-2</v>
      </c>
      <c r="I44" s="24">
        <f>K44/C44</f>
        <v>61.567241209887918</v>
      </c>
      <c r="J44" s="24">
        <f>K44/F44</f>
        <v>114.31681018823971</v>
      </c>
      <c r="K44" s="21">
        <v>14034560.470000001</v>
      </c>
      <c r="L44" s="21">
        <v>13168404.74</v>
      </c>
      <c r="M44" s="25">
        <f>(+K44-L44)/L44</f>
        <v>6.5775296788151458E-2</v>
      </c>
      <c r="N44" s="10"/>
      <c r="R44" s="2"/>
    </row>
    <row r="45" spans="1:18" ht="15.75" customHeight="1" x14ac:dyDescent="0.25">
      <c r="A45" s="19"/>
      <c r="B45" s="20">
        <f>DATE(2023,8,1)</f>
        <v>45139</v>
      </c>
      <c r="C45" s="21">
        <v>213907</v>
      </c>
      <c r="D45" s="21">
        <v>232585</v>
      </c>
      <c r="E45" s="23">
        <f>(+C45-D45)/D45</f>
        <v>-8.0306124642603782E-2</v>
      </c>
      <c r="F45" s="21">
        <f>+C45-98800</f>
        <v>115107</v>
      </c>
      <c r="G45" s="21">
        <f>+D45-107552</f>
        <v>125033</v>
      </c>
      <c r="H45" s="23">
        <f>(+F45-G45)/G45</f>
        <v>-7.9387041820959264E-2</v>
      </c>
      <c r="I45" s="24">
        <f>K45/C45</f>
        <v>61.08485257611953</v>
      </c>
      <c r="J45" s="24">
        <f>K45/F45</f>
        <v>113.51592483515338</v>
      </c>
      <c r="K45" s="21">
        <v>13066477.560000001</v>
      </c>
      <c r="L45" s="21">
        <v>13927721.449999999</v>
      </c>
      <c r="M45" s="25">
        <f>(+K45-L45)/L45</f>
        <v>-6.1836668193848664E-2</v>
      </c>
      <c r="N45" s="10"/>
      <c r="R45" s="2"/>
    </row>
    <row r="46" spans="1:18" ht="15.75" customHeight="1" thickBot="1" x14ac:dyDescent="0.3">
      <c r="A46" s="19"/>
      <c r="B46" s="45"/>
      <c r="C46" s="21"/>
      <c r="D46" s="21"/>
      <c r="E46" s="23"/>
      <c r="F46" s="21"/>
      <c r="G46" s="21"/>
      <c r="H46" s="23"/>
      <c r="I46" s="24"/>
      <c r="J46" s="24"/>
      <c r="K46" s="21"/>
      <c r="L46" s="21"/>
      <c r="M46" s="25"/>
      <c r="N46" s="10"/>
      <c r="R46" s="2"/>
    </row>
    <row r="47" spans="1:18" ht="17.25" thickTop="1" thickBot="1" x14ac:dyDescent="0.3">
      <c r="A47" s="39" t="s">
        <v>14</v>
      </c>
      <c r="B47" s="40"/>
      <c r="C47" s="41">
        <f>SUM(C44:C46)</f>
        <v>441862</v>
      </c>
      <c r="D47" s="41">
        <f>SUM(D44:D46)</f>
        <v>458989</v>
      </c>
      <c r="E47" s="280">
        <f>(+C47-D47)/D47</f>
        <v>-3.7314619740342364E-2</v>
      </c>
      <c r="F47" s="41">
        <f>SUM(F44:F46)</f>
        <v>237876</v>
      </c>
      <c r="G47" s="41">
        <f>SUM(G44:G46)</f>
        <v>245535</v>
      </c>
      <c r="H47" s="42">
        <f>(+F47-G47)/G47</f>
        <v>-3.1193108925407782E-2</v>
      </c>
      <c r="I47" s="43">
        <f>K47/C47</f>
        <v>61.333715119200114</v>
      </c>
      <c r="J47" s="43">
        <f>K47/F47</f>
        <v>113.92926579394307</v>
      </c>
      <c r="K47" s="41">
        <f>SUM(K44:K46)</f>
        <v>27101038.030000001</v>
      </c>
      <c r="L47" s="41">
        <f>SUM(L44:L46)</f>
        <v>27096126.189999998</v>
      </c>
      <c r="M47" s="44">
        <f>(+K47-L47)/L47</f>
        <v>1.8127462079123042E-4</v>
      </c>
      <c r="N47" s="10"/>
      <c r="R47" s="2"/>
    </row>
    <row r="48" spans="1:18" ht="15.75" customHeight="1" thickTop="1" x14ac:dyDescent="0.2">
      <c r="A48" s="54"/>
      <c r="B48" s="55"/>
      <c r="C48" s="55"/>
      <c r="D48" s="55"/>
      <c r="E48" s="56"/>
      <c r="F48" s="55"/>
      <c r="G48" s="55"/>
      <c r="H48" s="56"/>
      <c r="I48" s="55"/>
      <c r="J48" s="55"/>
      <c r="K48" s="196"/>
      <c r="L48" s="196"/>
      <c r="M48" s="57"/>
      <c r="N48" s="10"/>
      <c r="R48" s="2"/>
    </row>
    <row r="49" spans="1:18" ht="15.75" customHeight="1" x14ac:dyDescent="0.25">
      <c r="A49" s="19" t="s">
        <v>16</v>
      </c>
      <c r="B49" s="20">
        <f>DATE(2023,7,1)</f>
        <v>45108</v>
      </c>
      <c r="C49" s="21">
        <v>262088</v>
      </c>
      <c r="D49" s="21">
        <v>271337</v>
      </c>
      <c r="E49" s="23">
        <f>(+C49-D49)/D49</f>
        <v>-3.4086762955291762E-2</v>
      </c>
      <c r="F49" s="21">
        <f>+C49-132418</f>
        <v>129670</v>
      </c>
      <c r="G49" s="21">
        <f>+D49-134570</f>
        <v>136767</v>
      </c>
      <c r="H49" s="23">
        <f>(+F49-G49)/G49</f>
        <v>-5.1891172578180406E-2</v>
      </c>
      <c r="I49" s="24">
        <f>K49/C49</f>
        <v>67.305416539482934</v>
      </c>
      <c r="J49" s="24">
        <f>K49/F49</f>
        <v>136.03718678183083</v>
      </c>
      <c r="K49" s="21">
        <v>17639942.010000002</v>
      </c>
      <c r="L49" s="21">
        <v>18204043.98</v>
      </c>
      <c r="M49" s="25">
        <f>(+K49-L49)/L49</f>
        <v>-3.0987728365178272E-2</v>
      </c>
      <c r="N49" s="10"/>
      <c r="R49" s="2"/>
    </row>
    <row r="50" spans="1:18" ht="15.75" customHeight="1" x14ac:dyDescent="0.25">
      <c r="A50" s="19"/>
      <c r="B50" s="20">
        <f>DATE(2023,8,1)</f>
        <v>45139</v>
      </c>
      <c r="C50" s="21">
        <v>239223</v>
      </c>
      <c r="D50" s="21">
        <v>244622</v>
      </c>
      <c r="E50" s="23">
        <f>(+C50-D50)/D50</f>
        <v>-2.2070786764886233E-2</v>
      </c>
      <c r="F50" s="21">
        <f>+C50-117748</f>
        <v>121475</v>
      </c>
      <c r="G50" s="21">
        <f>+D50-120033</f>
        <v>124589</v>
      </c>
      <c r="H50" s="23">
        <f>(+F50-G50)/G50</f>
        <v>-2.4994180866689676E-2</v>
      </c>
      <c r="I50" s="24">
        <f>K50/C50</f>
        <v>68.308714588480214</v>
      </c>
      <c r="J50" s="24">
        <f>K50/F50</f>
        <v>134.52163515126571</v>
      </c>
      <c r="K50" s="21">
        <v>16341015.630000001</v>
      </c>
      <c r="L50" s="21">
        <v>16440004.18</v>
      </c>
      <c r="M50" s="25">
        <f>(+K50-L50)/L50</f>
        <v>-6.0211998072617814E-3</v>
      </c>
      <c r="N50" s="10"/>
      <c r="R50" s="2"/>
    </row>
    <row r="51" spans="1:18" ht="15.75" customHeight="1" thickBot="1" x14ac:dyDescent="0.3">
      <c r="A51" s="19"/>
      <c r="B51" s="45"/>
      <c r="C51" s="21"/>
      <c r="D51" s="21"/>
      <c r="E51" s="23"/>
      <c r="F51" s="21"/>
      <c r="G51" s="21"/>
      <c r="H51" s="23"/>
      <c r="I51" s="24"/>
      <c r="J51" s="24"/>
      <c r="K51" s="21"/>
      <c r="L51" s="21"/>
      <c r="M51" s="25"/>
      <c r="N51" s="10"/>
      <c r="R51" s="2"/>
    </row>
    <row r="52" spans="1:18" ht="17.25" thickTop="1" thickBot="1" x14ac:dyDescent="0.3">
      <c r="A52" s="39" t="s">
        <v>14</v>
      </c>
      <c r="B52" s="40"/>
      <c r="C52" s="41">
        <f>SUM(C49:C51)</f>
        <v>501311</v>
      </c>
      <c r="D52" s="41">
        <f>SUM(D49:D51)</f>
        <v>515959</v>
      </c>
      <c r="E52" s="280">
        <f>(+C52-D52)/D52</f>
        <v>-2.8389852682092959E-2</v>
      </c>
      <c r="F52" s="41">
        <f>SUM(F49:F51)</f>
        <v>251145</v>
      </c>
      <c r="G52" s="41">
        <f>SUM(G49:G51)</f>
        <v>261356</v>
      </c>
      <c r="H52" s="42">
        <f>(+F52-G52)/G52</f>
        <v>-3.9069315416519992E-2</v>
      </c>
      <c r="I52" s="43">
        <f>K52/C52</f>
        <v>67.784185146545752</v>
      </c>
      <c r="J52" s="43">
        <f>K52/F52</f>
        <v>135.30413760974736</v>
      </c>
      <c r="K52" s="41">
        <f>SUM(K49:K51)</f>
        <v>33980957.640000001</v>
      </c>
      <c r="L52" s="41">
        <f>SUM(L49:L51)</f>
        <v>34644048.159999996</v>
      </c>
      <c r="M52" s="44">
        <f>(+K52-L52)/L52</f>
        <v>-1.9140099244106232E-2</v>
      </c>
      <c r="N52" s="10"/>
      <c r="R52" s="2"/>
    </row>
    <row r="53" spans="1:18" ht="15.75" customHeight="1" thickTop="1" x14ac:dyDescent="0.2">
      <c r="A53" s="54"/>
      <c r="B53" s="55"/>
      <c r="C53" s="55"/>
      <c r="D53" s="55"/>
      <c r="E53" s="56"/>
      <c r="F53" s="55"/>
      <c r="G53" s="55"/>
      <c r="H53" s="56"/>
      <c r="I53" s="55"/>
      <c r="J53" s="55"/>
      <c r="K53" s="196"/>
      <c r="L53" s="196"/>
      <c r="M53" s="57"/>
      <c r="N53" s="10"/>
      <c r="R53" s="2"/>
    </row>
    <row r="54" spans="1:18" ht="15.75" customHeight="1" x14ac:dyDescent="0.25">
      <c r="A54" s="19" t="s">
        <v>53</v>
      </c>
      <c r="B54" s="20">
        <f>DATE(2023,7,1)</f>
        <v>45108</v>
      </c>
      <c r="C54" s="21">
        <v>372664</v>
      </c>
      <c r="D54" s="21">
        <v>358906</v>
      </c>
      <c r="E54" s="23">
        <f>(+C54-D54)/D54</f>
        <v>3.8333156871158465E-2</v>
      </c>
      <c r="F54" s="21">
        <f>+C54-175639</f>
        <v>197025</v>
      </c>
      <c r="G54" s="21">
        <f>+D54-172463</f>
        <v>186443</v>
      </c>
      <c r="H54" s="23">
        <f>(+F54-G54)/G54</f>
        <v>5.6757293113713039E-2</v>
      </c>
      <c r="I54" s="24">
        <f>K54/C54</f>
        <v>59.665630729021316</v>
      </c>
      <c r="J54" s="24">
        <f>K54/F54</f>
        <v>112.85487938078924</v>
      </c>
      <c r="K54" s="21">
        <v>22235232.609999999</v>
      </c>
      <c r="L54" s="21">
        <v>22397002.989999998</v>
      </c>
      <c r="M54" s="25">
        <f>(+K54-L54)/L54</f>
        <v>-7.2228583472631388E-3</v>
      </c>
      <c r="N54" s="10"/>
      <c r="R54" s="2"/>
    </row>
    <row r="55" spans="1:18" ht="15.75" customHeight="1" x14ac:dyDescent="0.25">
      <c r="A55" s="19"/>
      <c r="B55" s="20">
        <f>DATE(2023,8,1)</f>
        <v>45139</v>
      </c>
      <c r="C55" s="21">
        <v>342645</v>
      </c>
      <c r="D55" s="21">
        <v>332390</v>
      </c>
      <c r="E55" s="23">
        <f>(+C55-D55)/D55</f>
        <v>3.0852312043081923E-2</v>
      </c>
      <c r="F55" s="21">
        <f>+C55-159996</f>
        <v>182649</v>
      </c>
      <c r="G55" s="21">
        <f>+D55-159690</f>
        <v>172700</v>
      </c>
      <c r="H55" s="23">
        <f>(+F55-G55)/G55</f>
        <v>5.7608569774174868E-2</v>
      </c>
      <c r="I55" s="24">
        <f>K55/C55</f>
        <v>60.158932422769915</v>
      </c>
      <c r="J55" s="24">
        <f>K55/F55</f>
        <v>112.85666715941504</v>
      </c>
      <c r="K55" s="21">
        <v>20613157.399999999</v>
      </c>
      <c r="L55" s="21">
        <v>20719744.75</v>
      </c>
      <c r="M55" s="25">
        <f>(+K55-L55)/L55</f>
        <v>-5.1442404955303073E-3</v>
      </c>
      <c r="N55" s="10"/>
      <c r="R55" s="2"/>
    </row>
    <row r="56" spans="1:18" ht="15.75" customHeight="1" thickBot="1" x14ac:dyDescent="0.3">
      <c r="A56" s="19"/>
      <c r="B56" s="45"/>
      <c r="C56" s="21"/>
      <c r="D56" s="21"/>
      <c r="E56" s="23"/>
      <c r="F56" s="21"/>
      <c r="G56" s="21"/>
      <c r="H56" s="23"/>
      <c r="I56" s="24"/>
      <c r="J56" s="24"/>
      <c r="K56" s="21"/>
      <c r="L56" s="21"/>
      <c r="M56" s="25"/>
      <c r="N56" s="10"/>
      <c r="R56" s="2"/>
    </row>
    <row r="57" spans="1:18" ht="17.25" thickTop="1" thickBot="1" x14ac:dyDescent="0.3">
      <c r="A57" s="39" t="s">
        <v>14</v>
      </c>
      <c r="B57" s="40"/>
      <c r="C57" s="41">
        <f>SUM(C54:C56)</f>
        <v>715309</v>
      </c>
      <c r="D57" s="41">
        <f>SUM(D54:D56)</f>
        <v>691296</v>
      </c>
      <c r="E57" s="280">
        <f>(+C57-D57)/D57</f>
        <v>3.4736205619589872E-2</v>
      </c>
      <c r="F57" s="41">
        <f>SUM(F54:F56)</f>
        <v>379674</v>
      </c>
      <c r="G57" s="41">
        <f>SUM(G54:G56)</f>
        <v>359143</v>
      </c>
      <c r="H57" s="42">
        <f>(+F57-G57)/G57</f>
        <v>5.716664392734927E-2</v>
      </c>
      <c r="I57" s="43">
        <f>K57/C57</f>
        <v>59.901930508353729</v>
      </c>
      <c r="J57" s="43">
        <f>K57/F57</f>
        <v>112.85573942382149</v>
      </c>
      <c r="K57" s="41">
        <f>SUM(K54:K56)</f>
        <v>42848390.009999998</v>
      </c>
      <c r="L57" s="41">
        <f>SUM(L54:L56)</f>
        <v>43116747.739999995</v>
      </c>
      <c r="M57" s="44">
        <f>(+K57-L57)/L57</f>
        <v>-6.2239789424339536E-3</v>
      </c>
      <c r="N57" s="10"/>
      <c r="R57" s="2"/>
    </row>
    <row r="58" spans="1:18" ht="15.75" customHeight="1" thickTop="1" x14ac:dyDescent="0.2">
      <c r="A58" s="58"/>
      <c r="B58" s="59"/>
      <c r="C58" s="59"/>
      <c r="D58" s="59"/>
      <c r="E58" s="60"/>
      <c r="F58" s="59"/>
      <c r="G58" s="59"/>
      <c r="H58" s="60"/>
      <c r="I58" s="59"/>
      <c r="J58" s="59"/>
      <c r="K58" s="197"/>
      <c r="L58" s="197"/>
      <c r="M58" s="61"/>
      <c r="N58" s="10"/>
      <c r="R58" s="2"/>
    </row>
    <row r="59" spans="1:18" ht="15" customHeight="1" x14ac:dyDescent="0.25">
      <c r="A59" s="19" t="s">
        <v>54</v>
      </c>
      <c r="B59" s="20">
        <f>DATE(2023,7,1)</f>
        <v>45108</v>
      </c>
      <c r="C59" s="21">
        <v>43122</v>
      </c>
      <c r="D59" s="21">
        <v>45743</v>
      </c>
      <c r="E59" s="23">
        <f>(+C59-D59)/D59</f>
        <v>-5.729838445226592E-2</v>
      </c>
      <c r="F59" s="21">
        <f>+C59-21874</f>
        <v>21248</v>
      </c>
      <c r="G59" s="21">
        <f>+D59-23748</f>
        <v>21995</v>
      </c>
      <c r="H59" s="23">
        <f>(+F59-G59)/G59</f>
        <v>-3.3962264150943396E-2</v>
      </c>
      <c r="I59" s="24">
        <f>K59/C59</f>
        <v>73.706668985668571</v>
      </c>
      <c r="J59" s="24">
        <f>K59/F59</f>
        <v>149.58485410391566</v>
      </c>
      <c r="K59" s="21">
        <v>3178378.98</v>
      </c>
      <c r="L59" s="21">
        <v>3253812.68</v>
      </c>
      <c r="M59" s="25">
        <f>(+K59-L59)/L59</f>
        <v>-2.3183172302346608E-2</v>
      </c>
      <c r="N59" s="10"/>
      <c r="R59" s="2"/>
    </row>
    <row r="60" spans="1:18" ht="15" customHeight="1" x14ac:dyDescent="0.25">
      <c r="A60" s="19"/>
      <c r="B60" s="20">
        <f>DATE(2023,8,1)</f>
        <v>45139</v>
      </c>
      <c r="C60" s="21">
        <v>38794</v>
      </c>
      <c r="D60" s="21">
        <v>40978</v>
      </c>
      <c r="E60" s="23">
        <f>(+C60-D60)/D60</f>
        <v>-5.329689101469081E-2</v>
      </c>
      <c r="F60" s="21">
        <f>+C60-19691</f>
        <v>19103</v>
      </c>
      <c r="G60" s="21">
        <f>+D60-21136</f>
        <v>19842</v>
      </c>
      <c r="H60" s="23">
        <f>(+F60-G60)/G60</f>
        <v>-3.7244229412357624E-2</v>
      </c>
      <c r="I60" s="24">
        <f>K60/C60</f>
        <v>74.058326803113886</v>
      </c>
      <c r="J60" s="24">
        <f>K60/F60</f>
        <v>150.39620635502277</v>
      </c>
      <c r="K60" s="21">
        <v>2873018.73</v>
      </c>
      <c r="L60" s="21">
        <v>2953942.06</v>
      </c>
      <c r="M60" s="25">
        <f>(+K60-L60)/L60</f>
        <v>-2.7395029542319482E-2</v>
      </c>
      <c r="N60" s="10"/>
      <c r="R60" s="2"/>
    </row>
    <row r="61" spans="1:18" ht="15.75" thickBot="1" x14ac:dyDescent="0.25">
      <c r="A61" s="38"/>
      <c r="B61" s="20"/>
      <c r="C61" s="21"/>
      <c r="D61" s="21"/>
      <c r="E61" s="23"/>
      <c r="F61" s="21"/>
      <c r="G61" s="21"/>
      <c r="H61" s="23"/>
      <c r="I61" s="24"/>
      <c r="J61" s="24"/>
      <c r="K61" s="21"/>
      <c r="L61" s="21"/>
      <c r="M61" s="25"/>
      <c r="N61" s="10"/>
      <c r="R61" s="2"/>
    </row>
    <row r="62" spans="1:18" ht="17.25" thickTop="1" thickBot="1" x14ac:dyDescent="0.3">
      <c r="A62" s="62" t="s">
        <v>14</v>
      </c>
      <c r="B62" s="52"/>
      <c r="C62" s="48">
        <f>SUM(C59:C61)</f>
        <v>81916</v>
      </c>
      <c r="D62" s="48">
        <f>SUM(D59:D61)</f>
        <v>86721</v>
      </c>
      <c r="E62" s="280">
        <f>(+C62-D62)/D62</f>
        <v>-5.5407571407156284E-2</v>
      </c>
      <c r="F62" s="48">
        <f>SUM(F59:F61)</f>
        <v>40351</v>
      </c>
      <c r="G62" s="48">
        <f>SUM(G59:G61)</f>
        <v>41837</v>
      </c>
      <c r="H62" s="42">
        <f>(+F62-G62)/G62</f>
        <v>-3.5518799149078566E-2</v>
      </c>
      <c r="I62" s="50">
        <f>K62/C62</f>
        <v>73.873208042384888</v>
      </c>
      <c r="J62" s="50">
        <f>K62/F62</f>
        <v>149.96896508141063</v>
      </c>
      <c r="K62" s="48">
        <f>SUM(K59:K61)</f>
        <v>6051397.71</v>
      </c>
      <c r="L62" s="48">
        <f>SUM(L59:L61)</f>
        <v>6207754.7400000002</v>
      </c>
      <c r="M62" s="44">
        <f>(+K62-L62)/L62</f>
        <v>-2.5187372334880654E-2</v>
      </c>
      <c r="N62" s="10"/>
      <c r="R62" s="2"/>
    </row>
    <row r="63" spans="1:18" ht="15.75" customHeight="1" thickTop="1" x14ac:dyDescent="0.25">
      <c r="A63" s="19"/>
      <c r="B63" s="45"/>
      <c r="C63" s="21"/>
      <c r="D63" s="21"/>
      <c r="E63" s="23"/>
      <c r="F63" s="21"/>
      <c r="G63" s="21"/>
      <c r="H63" s="23"/>
      <c r="I63" s="24"/>
      <c r="J63" s="24"/>
      <c r="K63" s="21"/>
      <c r="L63" s="21"/>
      <c r="M63" s="25"/>
      <c r="N63" s="10"/>
      <c r="R63" s="2"/>
    </row>
    <row r="64" spans="1:18" ht="15.75" x14ac:dyDescent="0.25">
      <c r="A64" s="19" t="s">
        <v>17</v>
      </c>
      <c r="B64" s="20">
        <f>DATE(2023,7,1)</f>
        <v>45108</v>
      </c>
      <c r="C64" s="21">
        <v>341358</v>
      </c>
      <c r="D64" s="21">
        <v>376535</v>
      </c>
      <c r="E64" s="23">
        <f>(+C64-D64)/D64</f>
        <v>-9.3422922171909645E-2</v>
      </c>
      <c r="F64" s="21">
        <f>+C64-174275</f>
        <v>167083</v>
      </c>
      <c r="G64" s="21">
        <f>+D64-192471</f>
        <v>184064</v>
      </c>
      <c r="H64" s="23">
        <f>(+F64-G64)/G64</f>
        <v>-9.2255954450625871E-2</v>
      </c>
      <c r="I64" s="24">
        <f>K64/C64</f>
        <v>75.201336397565015</v>
      </c>
      <c r="J64" s="24">
        <f>K64/F64</f>
        <v>153.63967483226898</v>
      </c>
      <c r="K64" s="21">
        <v>25670577.789999999</v>
      </c>
      <c r="L64" s="21">
        <v>26699268.829999998</v>
      </c>
      <c r="M64" s="25">
        <f>(+K64-L64)/L64</f>
        <v>-3.8528809404852871E-2</v>
      </c>
      <c r="N64" s="10"/>
      <c r="R64" s="2"/>
    </row>
    <row r="65" spans="1:18" ht="15.75" x14ac:dyDescent="0.25">
      <c r="A65" s="19"/>
      <c r="B65" s="20">
        <f>DATE(2023,8,1)</f>
        <v>45139</v>
      </c>
      <c r="C65" s="21">
        <v>326253</v>
      </c>
      <c r="D65" s="21">
        <v>348725</v>
      </c>
      <c r="E65" s="23">
        <f>(+C65-D65)/D65</f>
        <v>-6.4440461681840991E-2</v>
      </c>
      <c r="F65" s="21">
        <f>+C65-166627</f>
        <v>159626</v>
      </c>
      <c r="G65" s="21">
        <f>+D65-177430</f>
        <v>171295</v>
      </c>
      <c r="H65" s="23">
        <f>(+F65-G65)/G65</f>
        <v>-6.8122245249423508E-2</v>
      </c>
      <c r="I65" s="24">
        <f>K65/C65</f>
        <v>71.558283510036688</v>
      </c>
      <c r="J65" s="24">
        <f>K65/F65</f>
        <v>146.25502530916017</v>
      </c>
      <c r="K65" s="21">
        <v>23346104.670000002</v>
      </c>
      <c r="L65" s="21">
        <v>26620249.559999999</v>
      </c>
      <c r="M65" s="25">
        <f>(+K65-L65)/L65</f>
        <v>-0.12299452274556351</v>
      </c>
      <c r="N65" s="10"/>
      <c r="R65" s="2"/>
    </row>
    <row r="66" spans="1:18" ht="15.75" thickBot="1" x14ac:dyDescent="0.25">
      <c r="A66" s="38"/>
      <c r="B66" s="45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SUM(C64:C66)</f>
        <v>667611</v>
      </c>
      <c r="D67" s="41">
        <f>SUM(D64:D66)</f>
        <v>725260</v>
      </c>
      <c r="E67" s="280">
        <f>(+C67-D67)/D67</f>
        <v>-7.9487356258445246E-2</v>
      </c>
      <c r="F67" s="41">
        <f>SUM(F64:F66)</f>
        <v>326709</v>
      </c>
      <c r="G67" s="41">
        <f>SUM(G64:G66)</f>
        <v>355359</v>
      </c>
      <c r="H67" s="42">
        <f>(+F67-G67)/G67</f>
        <v>-8.0622694233155767E-2</v>
      </c>
      <c r="I67" s="43">
        <f>K67/C67</f>
        <v>73.421022811187953</v>
      </c>
      <c r="J67" s="43">
        <f>K67/F67</f>
        <v>150.03162588113582</v>
      </c>
      <c r="K67" s="41">
        <f>SUM(K64:K66)</f>
        <v>49016682.460000001</v>
      </c>
      <c r="L67" s="41">
        <f>SUM(L64:L66)</f>
        <v>53319518.390000001</v>
      </c>
      <c r="M67" s="44">
        <f>(+K67-L67)/L67</f>
        <v>-8.0699077184594195E-2</v>
      </c>
      <c r="N67" s="10"/>
      <c r="R67" s="2"/>
    </row>
    <row r="68" spans="1:18" ht="15.75" customHeight="1" thickTop="1" x14ac:dyDescent="0.25">
      <c r="A68" s="19"/>
      <c r="B68" s="45"/>
      <c r="C68" s="21"/>
      <c r="D68" s="21"/>
      <c r="E68" s="23"/>
      <c r="F68" s="21"/>
      <c r="G68" s="21"/>
      <c r="H68" s="23"/>
      <c r="I68" s="24"/>
      <c r="J68" s="24"/>
      <c r="K68" s="21"/>
      <c r="L68" s="21"/>
      <c r="M68" s="25"/>
      <c r="N68" s="10"/>
      <c r="R68" s="2"/>
    </row>
    <row r="69" spans="1:18" ht="15.75" x14ac:dyDescent="0.25">
      <c r="A69" s="19" t="s">
        <v>56</v>
      </c>
      <c r="B69" s="20">
        <f>DATE(2023,7,1)</f>
        <v>45108</v>
      </c>
      <c r="C69" s="21">
        <v>66323</v>
      </c>
      <c r="D69" s="21">
        <v>68778</v>
      </c>
      <c r="E69" s="23">
        <f>(+C69-D69)/D69</f>
        <v>-3.5694553490941874E-2</v>
      </c>
      <c r="F69" s="21">
        <f>+C69-28441</f>
        <v>37882</v>
      </c>
      <c r="G69" s="21">
        <f>+D69-29763</f>
        <v>39015</v>
      </c>
      <c r="H69" s="23">
        <f>(+F69-G69)/G69</f>
        <v>-2.9040112777136997E-2</v>
      </c>
      <c r="I69" s="24">
        <f>K69/C69</f>
        <v>58.975659575109688</v>
      </c>
      <c r="J69" s="24">
        <f>K69/F69</f>
        <v>103.25333060556464</v>
      </c>
      <c r="K69" s="21">
        <v>3911442.67</v>
      </c>
      <c r="L69" s="21">
        <v>4137931.7</v>
      </c>
      <c r="M69" s="25">
        <f>(+K69-L69)/L69</f>
        <v>-5.4734840113479941E-2</v>
      </c>
      <c r="N69" s="10"/>
      <c r="R69" s="2"/>
    </row>
    <row r="70" spans="1:18" ht="15.75" x14ac:dyDescent="0.25">
      <c r="A70" s="19"/>
      <c r="B70" s="20">
        <f>DATE(2023,8,1)</f>
        <v>45139</v>
      </c>
      <c r="C70" s="21">
        <v>63894</v>
      </c>
      <c r="D70" s="21">
        <v>61732</v>
      </c>
      <c r="E70" s="23">
        <f>(+C70-D70)/D70</f>
        <v>3.5022354694485842E-2</v>
      </c>
      <c r="F70" s="21">
        <f>+C70-27335</f>
        <v>36559</v>
      </c>
      <c r="G70" s="21">
        <f>+D70-26815</f>
        <v>34917</v>
      </c>
      <c r="H70" s="23">
        <f>(+F70-G70)/G70</f>
        <v>4.7025804049603347E-2</v>
      </c>
      <c r="I70" s="24">
        <f>K70/C70</f>
        <v>60.44767067330266</v>
      </c>
      <c r="J70" s="24">
        <f>K70/F70</f>
        <v>105.64412237752674</v>
      </c>
      <c r="K70" s="21">
        <v>3862243.47</v>
      </c>
      <c r="L70" s="21">
        <v>3659627.99</v>
      </c>
      <c r="M70" s="25">
        <f>(+K70-L70)/L70</f>
        <v>5.5365048183490355E-2</v>
      </c>
      <c r="N70" s="10"/>
      <c r="R70" s="2"/>
    </row>
    <row r="71" spans="1:18" ht="15.75" thickBot="1" x14ac:dyDescent="0.25">
      <c r="A71" s="38"/>
      <c r="B71" s="45"/>
      <c r="C71" s="21"/>
      <c r="D71" s="21"/>
      <c r="E71" s="23"/>
      <c r="F71" s="21"/>
      <c r="G71" s="21"/>
      <c r="H71" s="23"/>
      <c r="I71" s="24"/>
      <c r="J71" s="24"/>
      <c r="K71" s="21"/>
      <c r="L71" s="21"/>
      <c r="M71" s="25"/>
      <c r="N71" s="10"/>
      <c r="R71" s="2"/>
    </row>
    <row r="72" spans="1:18" ht="17.25" thickTop="1" thickBot="1" x14ac:dyDescent="0.3">
      <c r="A72" s="26" t="s">
        <v>14</v>
      </c>
      <c r="B72" s="27"/>
      <c r="C72" s="28">
        <f>SUM(C69:C71)</f>
        <v>130217</v>
      </c>
      <c r="D72" s="28">
        <f>SUM(D69:D71)</f>
        <v>130510</v>
      </c>
      <c r="E72" s="280">
        <f>(+C72-D72)/D72</f>
        <v>-2.2450386943529232E-3</v>
      </c>
      <c r="F72" s="28">
        <f>SUM(F69:F71)</f>
        <v>74441</v>
      </c>
      <c r="G72" s="28">
        <f>SUM(G69:G71)</f>
        <v>73932</v>
      </c>
      <c r="H72" s="42">
        <f>(+F72-G72)/G72</f>
        <v>6.8847048639290162E-3</v>
      </c>
      <c r="I72" s="43">
        <f>K72/C72</f>
        <v>59.697936060575813</v>
      </c>
      <c r="J72" s="43">
        <f>K72/F72</f>
        <v>104.42748136107791</v>
      </c>
      <c r="K72" s="28">
        <f>SUM(K69:K71)</f>
        <v>7773686.1400000006</v>
      </c>
      <c r="L72" s="28">
        <f>SUM(L69:L71)</f>
        <v>7797559.6900000004</v>
      </c>
      <c r="M72" s="44">
        <f>(+K72-L72)/L72</f>
        <v>-3.0616694131391526E-3</v>
      </c>
      <c r="N72" s="10"/>
      <c r="R72" s="2"/>
    </row>
    <row r="73" spans="1:18" ht="16.5" thickTop="1" thickBot="1" x14ac:dyDescent="0.25">
      <c r="A73" s="63"/>
      <c r="B73" s="34"/>
      <c r="C73" s="35"/>
      <c r="D73" s="35"/>
      <c r="E73" s="29"/>
      <c r="F73" s="35"/>
      <c r="G73" s="35"/>
      <c r="H73" s="29"/>
      <c r="I73" s="36"/>
      <c r="J73" s="36"/>
      <c r="K73" s="35"/>
      <c r="L73" s="35"/>
      <c r="M73" s="37"/>
      <c r="N73" s="10"/>
      <c r="R73" s="2"/>
    </row>
    <row r="74" spans="1:18" ht="17.25" thickTop="1" thickBot="1" x14ac:dyDescent="0.3">
      <c r="A74" s="64" t="s">
        <v>18</v>
      </c>
      <c r="B74" s="65"/>
      <c r="C74" s="28">
        <f>C72+C67+C32+C42+C47+C22+C12+C52+C57+C27+C62+C17+C37</f>
        <v>4947805</v>
      </c>
      <c r="D74" s="28">
        <f>D72+D67+D32+D42+D47+D22+D12+D52+D57+D27+D62+D17+D37</f>
        <v>5010096</v>
      </c>
      <c r="E74" s="279">
        <f>(+C74-D74)/D74</f>
        <v>-1.2433095094385418E-2</v>
      </c>
      <c r="F74" s="28">
        <f>F72+F67+F32+F42+F47+F22+F12+F52+F57+F27+F62+F17+F37</f>
        <v>2545078</v>
      </c>
      <c r="G74" s="28">
        <f>G72+G67+G32+G42+G47+G22+G12+G52+G57+G27+G62+G17+G37</f>
        <v>2570541</v>
      </c>
      <c r="H74" s="30">
        <f>(+F74-G74)/G74</f>
        <v>-9.9056968941557445E-3</v>
      </c>
      <c r="I74" s="31">
        <f>K74/C74</f>
        <v>65.656510258589407</v>
      </c>
      <c r="J74" s="31">
        <f>K74/F74</f>
        <v>127.64072839417886</v>
      </c>
      <c r="K74" s="28">
        <f>K72+K67+K32+K42+K47+K22+K12+K52+K57+K27+K62+K17+K37</f>
        <v>324855609.73999995</v>
      </c>
      <c r="L74" s="28">
        <f>L72+L67+L32+L42+L47+L22+L12+L52+L57+L27+L62+L17+L37</f>
        <v>330366894.38</v>
      </c>
      <c r="M74" s="32">
        <f>(+K74-L74)/L74</f>
        <v>-1.6682315128285118E-2</v>
      </c>
      <c r="N74" s="10"/>
      <c r="R74" s="2"/>
    </row>
    <row r="75" spans="1:18" ht="17.25" thickTop="1" thickBot="1" x14ac:dyDescent="0.3">
      <c r="A75" s="64"/>
      <c r="B75" s="65"/>
      <c r="C75" s="28"/>
      <c r="D75" s="28"/>
      <c r="E75" s="29"/>
      <c r="F75" s="28"/>
      <c r="G75" s="28"/>
      <c r="H75" s="30"/>
      <c r="I75" s="31"/>
      <c r="J75" s="31"/>
      <c r="K75" s="28"/>
      <c r="L75" s="28"/>
      <c r="M75" s="32"/>
      <c r="N75" s="10"/>
      <c r="R75" s="2"/>
    </row>
    <row r="76" spans="1:18" ht="17.25" thickTop="1" thickBot="1" x14ac:dyDescent="0.3">
      <c r="A76" s="64" t="s">
        <v>19</v>
      </c>
      <c r="B76" s="65"/>
      <c r="C76" s="28">
        <f>+C10+C15+C20+C25+C30+C35+C40+C45+C50+C55+C60+C65+C70</f>
        <v>2390615</v>
      </c>
      <c r="D76" s="28">
        <f>+D10+D15+D20+D25+D30+D35+D40+D45+D50+D55+D60+D65+D70</f>
        <v>2410500</v>
      </c>
      <c r="E76" s="279">
        <f>(+C76-D76)/D76</f>
        <v>-8.2493258660029031E-3</v>
      </c>
      <c r="F76" s="28">
        <f>+F10+F15+F20+F25+F30+F35+F40+F45+F50+F55+F60+F65+F70</f>
        <v>1232227</v>
      </c>
      <c r="G76" s="28">
        <f>+G10+G15+G20+G25+G30+G35+G40+G45+G50+G55+G60+G65+G70</f>
        <v>1240767</v>
      </c>
      <c r="H76" s="30">
        <f>(+F76-G76)/G76</f>
        <v>-6.8828394049809515E-3</v>
      </c>
      <c r="I76" s="291">
        <f>K76/C76</f>
        <v>65.416003743806513</v>
      </c>
      <c r="J76" s="31">
        <f>K76/F76</f>
        <v>126.91207041397404</v>
      </c>
      <c r="K76" s="28">
        <f>+K10+K15+K20+K25+K30+K35+K40+K45+K50+K55+K60+K65+K70</f>
        <v>156384479.78999999</v>
      </c>
      <c r="L76" s="28">
        <f>+L10+L15+L20+L25+L30+L35+L40+L45+L50+L55+L60+L65+L70</f>
        <v>160984386.93000001</v>
      </c>
      <c r="M76" s="32">
        <f>(+K76-L76)/L76</f>
        <v>-2.8573622745168257E-2</v>
      </c>
      <c r="N76" s="10"/>
      <c r="R76" s="2"/>
    </row>
    <row r="77" spans="1:18" ht="15.75" thickTop="1" x14ac:dyDescent="0.2">
      <c r="A77" s="66"/>
      <c r="B77" s="67"/>
      <c r="C77" s="68"/>
      <c r="D77" s="67"/>
      <c r="E77" s="67"/>
      <c r="F77" s="67"/>
      <c r="G77" s="67"/>
      <c r="H77" s="67"/>
      <c r="I77" s="67"/>
      <c r="J77" s="67"/>
      <c r="K77" s="68"/>
      <c r="L77" s="68"/>
      <c r="M77" s="67"/>
      <c r="R77" s="2"/>
    </row>
    <row r="78" spans="1:18" ht="18.75" x14ac:dyDescent="0.3">
      <c r="A78" s="264" t="s">
        <v>20</v>
      </c>
      <c r="B78" s="70"/>
      <c r="C78" s="71"/>
      <c r="D78" s="71"/>
      <c r="E78" s="71"/>
      <c r="F78" s="71"/>
      <c r="G78" s="71"/>
      <c r="H78" s="71"/>
      <c r="I78" s="71"/>
      <c r="J78" s="71"/>
      <c r="K78" s="198"/>
      <c r="L78" s="198"/>
      <c r="M78" s="71"/>
      <c r="N78" s="2"/>
      <c r="O78" s="2"/>
      <c r="P78" s="2"/>
      <c r="Q78" s="2"/>
      <c r="R78" s="2"/>
    </row>
    <row r="79" spans="1:18" ht="18" x14ac:dyDescent="0.25">
      <c r="A79" s="69"/>
      <c r="B79" s="70"/>
      <c r="C79" s="71"/>
      <c r="D79" s="71"/>
      <c r="E79" s="71"/>
      <c r="F79" s="71"/>
      <c r="G79" s="71"/>
      <c r="H79" s="71"/>
      <c r="I79" s="71"/>
      <c r="J79" s="71"/>
      <c r="K79" s="198"/>
      <c r="L79" s="198"/>
      <c r="M79" s="71"/>
      <c r="N79" s="2"/>
      <c r="O79" s="2"/>
      <c r="P79" s="2"/>
      <c r="Q79" s="2"/>
      <c r="R79" s="2"/>
    </row>
    <row r="80" spans="1:18" ht="15.75" x14ac:dyDescent="0.25">
      <c r="A80" s="72"/>
      <c r="B80" s="73"/>
      <c r="C80" s="74"/>
      <c r="D80" s="74"/>
      <c r="E80" s="74"/>
      <c r="F80" s="74"/>
      <c r="G80" s="74"/>
      <c r="H80" s="74"/>
      <c r="I80" s="74"/>
      <c r="J80" s="74"/>
      <c r="K80" s="192"/>
      <c r="L80" s="192"/>
      <c r="M80" s="75"/>
      <c r="N80" s="2"/>
      <c r="O80" s="2"/>
      <c r="P80" s="2"/>
      <c r="Q80" s="2"/>
      <c r="R80" s="2"/>
    </row>
    <row r="81" spans="1:18" x14ac:dyDescent="0.2">
      <c r="A81" s="2"/>
      <c r="B81" s="73"/>
      <c r="C81" s="74"/>
      <c r="D81" s="74"/>
      <c r="E81" s="74"/>
      <c r="F81" s="74"/>
      <c r="G81" s="74"/>
      <c r="H81" s="74"/>
      <c r="I81" s="74"/>
      <c r="J81" s="74"/>
      <c r="K81" s="192"/>
      <c r="L81" s="192"/>
      <c r="M81" s="75"/>
      <c r="N81" s="2"/>
      <c r="O81" s="2"/>
      <c r="P81" s="2"/>
      <c r="Q81" s="2"/>
      <c r="R81" s="2"/>
    </row>
    <row r="82" spans="1:18" x14ac:dyDescent="0.2">
      <c r="A82" s="2"/>
      <c r="B82" s="73"/>
      <c r="C82" s="74"/>
      <c r="D82" s="74"/>
      <c r="E82" s="74"/>
      <c r="F82" s="74"/>
      <c r="G82" s="74"/>
      <c r="H82" s="74"/>
      <c r="I82" s="74"/>
      <c r="J82" s="74"/>
      <c r="K82" s="192"/>
      <c r="L82" s="192"/>
      <c r="M82" s="75"/>
      <c r="N82" s="2"/>
      <c r="O82" s="2"/>
      <c r="P82" s="2"/>
      <c r="Q82" s="2"/>
      <c r="R82" s="2"/>
    </row>
    <row r="83" spans="1:18" x14ac:dyDescent="0.2">
      <c r="A83" s="2"/>
      <c r="B83" s="73"/>
      <c r="C83" s="74"/>
      <c r="D83" s="74"/>
      <c r="E83" s="74"/>
      <c r="F83" s="74"/>
      <c r="G83" s="74"/>
      <c r="H83" s="74"/>
      <c r="I83" s="74"/>
      <c r="J83" s="74"/>
      <c r="K83" s="192"/>
      <c r="L83" s="192"/>
      <c r="M83" s="75"/>
      <c r="N83" s="2"/>
      <c r="O83" s="2"/>
      <c r="P83" s="2"/>
      <c r="Q83" s="2"/>
      <c r="R83" s="2"/>
    </row>
    <row r="84" spans="1:18" x14ac:dyDescent="0.2">
      <c r="A84" s="2"/>
      <c r="B84" s="73"/>
      <c r="C84" s="74"/>
      <c r="D84" s="74"/>
      <c r="E84" s="74"/>
      <c r="F84" s="74"/>
      <c r="G84" s="74"/>
      <c r="H84" s="74"/>
      <c r="I84" s="74"/>
      <c r="J84" s="74"/>
      <c r="K84" s="192"/>
      <c r="L84" s="192"/>
      <c r="M84" s="75"/>
      <c r="N84" s="2"/>
      <c r="O84" s="2"/>
      <c r="P84" s="2"/>
      <c r="Q84" s="2"/>
      <c r="R84" s="2"/>
    </row>
    <row r="85" spans="1:18" x14ac:dyDescent="0.2">
      <c r="A85" s="2"/>
      <c r="B85" s="73"/>
      <c r="C85" s="74"/>
      <c r="D85" s="74"/>
      <c r="E85" s="74"/>
      <c r="F85" s="74"/>
      <c r="G85" s="74"/>
      <c r="H85" s="74"/>
      <c r="I85" s="74"/>
      <c r="J85" s="74"/>
      <c r="K85" s="192"/>
      <c r="L85" s="192"/>
      <c r="M85" s="75"/>
      <c r="N85" s="2"/>
      <c r="O85" s="2"/>
      <c r="P85" s="2"/>
      <c r="Q85" s="2"/>
      <c r="R85" s="2"/>
    </row>
    <row r="86" spans="1:18" x14ac:dyDescent="0.2">
      <c r="A86" s="2"/>
      <c r="B86" s="73"/>
      <c r="C86" s="74"/>
      <c r="D86" s="74"/>
      <c r="E86" s="74"/>
      <c r="F86" s="74"/>
      <c r="G86" s="74"/>
      <c r="H86" s="74"/>
      <c r="I86" s="74"/>
      <c r="J86" s="74"/>
      <c r="K86" s="192"/>
      <c r="L86" s="192"/>
      <c r="M86" s="75"/>
      <c r="N86" s="2"/>
      <c r="O86" s="2"/>
      <c r="P86" s="2"/>
      <c r="Q86" s="2"/>
      <c r="R86" s="2"/>
    </row>
    <row r="87" spans="1:18" x14ac:dyDescent="0.2">
      <c r="A87" s="2"/>
      <c r="B87" s="73"/>
      <c r="C87" s="74"/>
      <c r="D87" s="74"/>
      <c r="E87" s="74"/>
      <c r="F87" s="74"/>
      <c r="G87" s="74"/>
      <c r="H87" s="74"/>
      <c r="I87" s="74"/>
      <c r="J87" s="74"/>
      <c r="K87" s="192"/>
      <c r="L87" s="192"/>
      <c r="M87" s="75"/>
      <c r="N87" s="2"/>
      <c r="O87" s="2"/>
      <c r="P87" s="2"/>
      <c r="Q87" s="2"/>
      <c r="R87" s="2"/>
    </row>
    <row r="88" spans="1:18" x14ac:dyDescent="0.2">
      <c r="A88" s="2"/>
      <c r="B88" s="73"/>
      <c r="C88" s="74"/>
      <c r="D88" s="74"/>
      <c r="E88" s="74"/>
      <c r="F88" s="74"/>
      <c r="G88" s="74"/>
      <c r="H88" s="74"/>
      <c r="I88" s="74"/>
      <c r="J88" s="74"/>
      <c r="K88" s="192"/>
      <c r="L88" s="192"/>
      <c r="M88" s="75"/>
      <c r="N88" s="2"/>
      <c r="O88" s="2"/>
      <c r="P88" s="2"/>
      <c r="Q88" s="2"/>
      <c r="R88" s="2"/>
    </row>
    <row r="89" spans="1:18" x14ac:dyDescent="0.2">
      <c r="A89" s="2"/>
      <c r="B89" s="73"/>
      <c r="C89" s="74"/>
      <c r="D89" s="74"/>
      <c r="E89" s="74"/>
      <c r="F89" s="74"/>
      <c r="G89" s="74"/>
      <c r="H89" s="74"/>
      <c r="I89" s="74"/>
      <c r="J89" s="74"/>
      <c r="K89" s="192"/>
      <c r="L89" s="192"/>
      <c r="M89" s="74"/>
      <c r="N89" s="2"/>
      <c r="O89" s="2"/>
      <c r="P89" s="2"/>
      <c r="Q89" s="2"/>
      <c r="R89" s="2"/>
    </row>
    <row r="90" spans="1:18" x14ac:dyDescent="0.2">
      <c r="A90" s="2"/>
      <c r="B90" s="73"/>
      <c r="C90" s="74"/>
      <c r="D90" s="74"/>
      <c r="E90" s="74"/>
      <c r="F90" s="74"/>
      <c r="G90" s="74"/>
      <c r="H90" s="74"/>
      <c r="I90" s="74"/>
      <c r="J90" s="74"/>
      <c r="K90" s="192"/>
      <c r="L90" s="192"/>
      <c r="M90" s="74"/>
      <c r="N90" s="2"/>
      <c r="O90" s="2"/>
      <c r="P90" s="2"/>
      <c r="Q90" s="2"/>
      <c r="R90" s="2"/>
    </row>
    <row r="91" spans="1:18" x14ac:dyDescent="0.2">
      <c r="A91" s="2"/>
      <c r="B91" s="70"/>
      <c r="C91" s="74"/>
      <c r="D91" s="74"/>
      <c r="E91" s="74"/>
      <c r="F91" s="74"/>
      <c r="G91" s="74"/>
      <c r="H91" s="74"/>
      <c r="I91" s="74"/>
      <c r="J91" s="74"/>
      <c r="K91" s="192"/>
      <c r="L91" s="192"/>
      <c r="M91" s="74"/>
      <c r="N91" s="2"/>
      <c r="O91" s="2"/>
      <c r="P91" s="2"/>
      <c r="Q91" s="2"/>
      <c r="R91" s="2"/>
    </row>
    <row r="92" spans="1:18" ht="15.75" x14ac:dyDescent="0.25">
      <c r="A92" s="76"/>
      <c r="B92" s="70"/>
      <c r="C92" s="74"/>
      <c r="D92" s="74"/>
      <c r="E92" s="74"/>
      <c r="F92" s="74"/>
      <c r="G92" s="74"/>
      <c r="H92" s="74"/>
      <c r="I92" s="74"/>
      <c r="J92" s="74"/>
      <c r="K92" s="192"/>
      <c r="L92" s="192"/>
      <c r="M92" s="75"/>
      <c r="N92" s="2"/>
      <c r="O92" s="2"/>
      <c r="P92" s="2"/>
      <c r="Q92" s="2"/>
      <c r="R92" s="2"/>
    </row>
    <row r="93" spans="1:18" ht="15.75" x14ac:dyDescent="0.25">
      <c r="A93" s="76"/>
      <c r="B93" s="70"/>
      <c r="C93" s="74"/>
      <c r="D93" s="74"/>
      <c r="E93" s="74"/>
      <c r="F93" s="74"/>
      <c r="G93" s="74"/>
      <c r="H93" s="74"/>
      <c r="I93" s="74"/>
      <c r="J93" s="74"/>
      <c r="K93" s="192"/>
      <c r="L93" s="192"/>
      <c r="M93" s="75"/>
      <c r="N93" s="2"/>
      <c r="O93" s="2"/>
      <c r="P93" s="2"/>
      <c r="Q93" s="2"/>
      <c r="R93" s="2"/>
    </row>
    <row r="94" spans="1:18" ht="15.75" x14ac:dyDescent="0.25">
      <c r="A94" s="76"/>
      <c r="B94" s="70"/>
      <c r="C94" s="74"/>
      <c r="D94" s="74"/>
      <c r="E94" s="74"/>
      <c r="F94" s="74"/>
      <c r="G94" s="74"/>
      <c r="H94" s="74"/>
      <c r="I94" s="74"/>
      <c r="J94" s="74"/>
      <c r="K94" s="192"/>
      <c r="L94" s="192"/>
      <c r="M94" s="75"/>
      <c r="N94" s="2"/>
      <c r="O94" s="2"/>
      <c r="P94" s="2"/>
      <c r="Q94" s="2"/>
      <c r="R94" s="2"/>
    </row>
    <row r="95" spans="1:18" x14ac:dyDescent="0.2">
      <c r="A95" s="2"/>
      <c r="B95" s="70"/>
      <c r="C95" s="74"/>
      <c r="D95" s="74"/>
      <c r="E95" s="74"/>
      <c r="F95" s="74"/>
      <c r="G95" s="74"/>
      <c r="H95" s="74"/>
      <c r="I95" s="74"/>
      <c r="J95" s="74"/>
      <c r="K95" s="192"/>
      <c r="L95" s="192"/>
      <c r="M95" s="75"/>
      <c r="N95" s="2"/>
      <c r="O95" s="2"/>
      <c r="P95" s="2"/>
      <c r="Q95" s="2"/>
      <c r="R95" s="2"/>
    </row>
    <row r="96" spans="1:18" ht="15.75" x14ac:dyDescent="0.25">
      <c r="A96" s="76"/>
      <c r="B96" s="73"/>
      <c r="C96" s="74"/>
      <c r="D96" s="74"/>
      <c r="E96" s="74"/>
      <c r="F96" s="74"/>
      <c r="G96" s="74"/>
      <c r="H96" s="74"/>
      <c r="I96" s="74"/>
      <c r="J96" s="74"/>
      <c r="K96" s="192"/>
      <c r="L96" s="192"/>
      <c r="M96" s="75"/>
      <c r="N96" s="2"/>
      <c r="O96" s="2"/>
      <c r="P96" s="2"/>
      <c r="Q96" s="2"/>
      <c r="R96" s="2"/>
    </row>
    <row r="97" spans="1:18" x14ac:dyDescent="0.2">
      <c r="A97" s="2"/>
      <c r="B97" s="73"/>
      <c r="C97" s="74"/>
      <c r="D97" s="74"/>
      <c r="E97" s="74"/>
      <c r="F97" s="74"/>
      <c r="G97" s="74"/>
      <c r="H97" s="74"/>
      <c r="I97" s="74"/>
      <c r="J97" s="74"/>
      <c r="K97" s="192"/>
      <c r="L97" s="192"/>
      <c r="M97" s="75"/>
      <c r="N97" s="2"/>
      <c r="O97" s="2"/>
      <c r="P97" s="2"/>
      <c r="Q97" s="2"/>
      <c r="R97" s="2"/>
    </row>
    <row r="98" spans="1:18" x14ac:dyDescent="0.2">
      <c r="A98" s="2"/>
      <c r="B98" s="73"/>
      <c r="C98" s="74"/>
      <c r="D98" s="74"/>
      <c r="E98" s="74"/>
      <c r="F98" s="74"/>
      <c r="G98" s="74"/>
      <c r="H98" s="74"/>
      <c r="I98" s="74"/>
      <c r="J98" s="74"/>
      <c r="K98" s="192"/>
      <c r="L98" s="192"/>
      <c r="M98" s="75"/>
      <c r="N98" s="2"/>
      <c r="O98" s="2"/>
      <c r="P98" s="2"/>
      <c r="Q98" s="2"/>
      <c r="R98" s="2"/>
    </row>
    <row r="99" spans="1:18" x14ac:dyDescent="0.2">
      <c r="A99" s="2"/>
      <c r="B99" s="77"/>
      <c r="C99" s="74"/>
      <c r="D99" s="74"/>
      <c r="E99" s="74"/>
      <c r="F99" s="74"/>
      <c r="G99" s="74"/>
      <c r="H99" s="74"/>
      <c r="I99" s="74"/>
      <c r="J99" s="74"/>
      <c r="K99" s="192"/>
      <c r="L99" s="192"/>
      <c r="M99" s="75"/>
      <c r="N99" s="2"/>
      <c r="O99" s="2"/>
      <c r="P99" s="2"/>
      <c r="Q99" s="2"/>
      <c r="R99" s="2"/>
    </row>
    <row r="100" spans="1:18" x14ac:dyDescent="0.2">
      <c r="A100" s="2"/>
      <c r="B100" s="77"/>
      <c r="C100" s="74"/>
      <c r="D100" s="74"/>
      <c r="E100" s="74"/>
      <c r="F100" s="74"/>
      <c r="G100" s="74"/>
      <c r="H100" s="74"/>
      <c r="I100" s="74"/>
      <c r="J100" s="74"/>
      <c r="K100" s="192"/>
      <c r="L100" s="192"/>
      <c r="M100" s="75"/>
      <c r="N100" s="2"/>
      <c r="O100" s="2"/>
      <c r="P100" s="2"/>
      <c r="Q100" s="2"/>
      <c r="R100" s="2"/>
    </row>
    <row r="101" spans="1:18" x14ac:dyDescent="0.2">
      <c r="A101" s="2"/>
      <c r="B101" s="77"/>
      <c r="C101" s="74"/>
      <c r="D101" s="74"/>
      <c r="E101" s="74"/>
      <c r="F101" s="74"/>
      <c r="G101" s="74"/>
      <c r="H101" s="74"/>
      <c r="I101" s="74"/>
      <c r="J101" s="74"/>
      <c r="K101" s="192"/>
      <c r="L101" s="192"/>
      <c r="M101" s="75"/>
      <c r="N101" s="2"/>
      <c r="O101" s="2"/>
      <c r="P101" s="2"/>
      <c r="Q101" s="2"/>
      <c r="R101" s="2"/>
    </row>
    <row r="102" spans="1:18" x14ac:dyDescent="0.2">
      <c r="A102" s="2"/>
      <c r="B102" s="77"/>
      <c r="C102" s="74"/>
      <c r="D102" s="74"/>
      <c r="E102" s="74"/>
      <c r="F102" s="74"/>
      <c r="G102" s="74"/>
      <c r="H102" s="74"/>
      <c r="I102" s="74"/>
      <c r="J102" s="74"/>
      <c r="K102" s="192"/>
      <c r="L102" s="192"/>
      <c r="M102" s="75"/>
      <c r="N102" s="2"/>
      <c r="O102" s="2"/>
      <c r="P102" s="2"/>
      <c r="Q102" s="2"/>
      <c r="R102" s="2"/>
    </row>
    <row r="103" spans="1:18" x14ac:dyDescent="0.2">
      <c r="A103" s="2"/>
      <c r="B103" s="77"/>
      <c r="C103" s="74"/>
      <c r="D103" s="74"/>
      <c r="E103" s="74"/>
      <c r="F103" s="74"/>
      <c r="G103" s="74"/>
      <c r="H103" s="74"/>
      <c r="I103" s="74"/>
      <c r="J103" s="74"/>
      <c r="K103" s="192"/>
      <c r="L103" s="192"/>
      <c r="M103" s="75"/>
      <c r="N103" s="2"/>
      <c r="O103" s="2"/>
      <c r="P103" s="2"/>
      <c r="Q103" s="2"/>
      <c r="R103" s="2"/>
    </row>
    <row r="104" spans="1:18" x14ac:dyDescent="0.2">
      <c r="A104" s="2"/>
      <c r="B104" s="77"/>
      <c r="C104" s="74"/>
      <c r="D104" s="74"/>
      <c r="E104" s="74"/>
      <c r="F104" s="74"/>
      <c r="G104" s="74"/>
      <c r="H104" s="74"/>
      <c r="I104" s="74"/>
      <c r="J104" s="74"/>
      <c r="K104" s="192"/>
      <c r="L104" s="192"/>
      <c r="M104" s="75"/>
      <c r="N104" s="2"/>
      <c r="O104" s="2"/>
      <c r="P104" s="2"/>
      <c r="Q104" s="2"/>
      <c r="R104" s="2"/>
    </row>
    <row r="105" spans="1:18" x14ac:dyDescent="0.2">
      <c r="A105" s="2"/>
      <c r="B105" s="77"/>
      <c r="C105" s="74"/>
      <c r="D105" s="74"/>
      <c r="E105" s="74"/>
      <c r="F105" s="74"/>
      <c r="G105" s="74"/>
      <c r="H105" s="74"/>
      <c r="I105" s="74"/>
      <c r="J105" s="74"/>
      <c r="K105" s="192"/>
      <c r="L105" s="192"/>
      <c r="M105" s="75"/>
      <c r="N105" s="2"/>
      <c r="O105" s="2"/>
      <c r="P105" s="2"/>
      <c r="Q105" s="2"/>
      <c r="R105" s="2"/>
    </row>
    <row r="106" spans="1:18" x14ac:dyDescent="0.2">
      <c r="A106" s="2"/>
      <c r="B106" s="77"/>
      <c r="C106" s="74"/>
      <c r="D106" s="74"/>
      <c r="E106" s="74"/>
      <c r="F106" s="74"/>
      <c r="G106" s="74"/>
      <c r="H106" s="74"/>
      <c r="I106" s="74"/>
      <c r="J106" s="74"/>
      <c r="K106" s="192"/>
      <c r="L106" s="192"/>
      <c r="M106" s="75"/>
      <c r="N106" s="2"/>
      <c r="O106" s="2"/>
      <c r="P106" s="2"/>
      <c r="Q106" s="2"/>
      <c r="R106" s="2"/>
    </row>
    <row r="107" spans="1:18" x14ac:dyDescent="0.2">
      <c r="A107" s="2"/>
      <c r="B107" s="77"/>
      <c r="C107" s="74"/>
      <c r="D107" s="74"/>
      <c r="E107" s="74"/>
      <c r="F107" s="74"/>
      <c r="G107" s="74"/>
      <c r="H107" s="74"/>
      <c r="I107" s="74"/>
      <c r="J107" s="74"/>
      <c r="K107" s="192"/>
      <c r="L107" s="192"/>
      <c r="M107" s="75"/>
      <c r="N107" s="2"/>
      <c r="O107" s="2"/>
      <c r="P107" s="2"/>
      <c r="Q107" s="2"/>
      <c r="R107" s="2"/>
    </row>
    <row r="108" spans="1:18" x14ac:dyDescent="0.2">
      <c r="A108" s="2"/>
      <c r="B108" s="2"/>
      <c r="C108" s="74"/>
      <c r="D108" s="74"/>
      <c r="E108" s="74"/>
      <c r="F108" s="74"/>
      <c r="G108" s="74"/>
      <c r="H108" s="74"/>
      <c r="I108" s="74"/>
      <c r="J108" s="74"/>
      <c r="K108" s="192"/>
      <c r="L108" s="192"/>
      <c r="M108" s="75"/>
      <c r="N108" s="2"/>
      <c r="O108" s="2"/>
      <c r="P108" s="2"/>
      <c r="Q108" s="2"/>
      <c r="R108" s="2"/>
    </row>
    <row r="109" spans="1:18" ht="15.75" x14ac:dyDescent="0.25">
      <c r="A109" s="76"/>
      <c r="B109" s="2"/>
      <c r="C109" s="74"/>
      <c r="D109" s="74"/>
      <c r="E109" s="74"/>
      <c r="F109" s="74"/>
      <c r="G109" s="74"/>
      <c r="H109" s="74"/>
      <c r="I109" s="74"/>
      <c r="J109" s="74"/>
      <c r="K109" s="192"/>
      <c r="L109" s="192"/>
      <c r="M109" s="75"/>
      <c r="N109" s="2"/>
      <c r="O109" s="2"/>
      <c r="P109" s="2"/>
      <c r="Q109" s="2"/>
      <c r="R109" s="2"/>
    </row>
    <row r="110" spans="1:18" x14ac:dyDescent="0.2">
      <c r="A110" s="2"/>
      <c r="B110" s="2"/>
      <c r="C110" s="74"/>
      <c r="D110" s="74"/>
      <c r="E110" s="74"/>
      <c r="F110" s="74"/>
      <c r="G110" s="74"/>
      <c r="H110" s="74"/>
      <c r="I110" s="74"/>
      <c r="J110" s="74"/>
      <c r="K110" s="192"/>
      <c r="L110" s="192"/>
      <c r="M110" s="75"/>
      <c r="N110" s="2"/>
      <c r="O110" s="2"/>
      <c r="P110" s="2"/>
      <c r="Q110" s="2"/>
      <c r="R110" s="2"/>
    </row>
    <row r="111" spans="1:18" x14ac:dyDescent="0.2">
      <c r="A111" s="2"/>
      <c r="B111" s="2"/>
      <c r="C111" s="74"/>
      <c r="D111" s="74"/>
      <c r="E111" s="74"/>
      <c r="F111" s="74"/>
      <c r="G111" s="74"/>
      <c r="H111" s="74"/>
      <c r="I111" s="74"/>
      <c r="J111" s="74"/>
      <c r="K111" s="192"/>
      <c r="L111" s="192"/>
      <c r="M111" s="75"/>
      <c r="N111" s="2"/>
      <c r="O111" s="2"/>
      <c r="P111" s="2"/>
      <c r="Q111" s="2"/>
      <c r="R111" s="2"/>
    </row>
    <row r="112" spans="1:18" ht="15.75" x14ac:dyDescent="0.25">
      <c r="A112" s="76"/>
      <c r="B112" s="2"/>
      <c r="C112" s="74"/>
      <c r="D112" s="74"/>
      <c r="E112" s="74"/>
      <c r="F112" s="74"/>
      <c r="G112" s="74"/>
      <c r="H112" s="74"/>
      <c r="I112" s="74"/>
      <c r="J112" s="74"/>
      <c r="K112" s="192"/>
      <c r="L112" s="192"/>
      <c r="M112" s="75"/>
      <c r="N112" s="2"/>
      <c r="O112" s="2"/>
      <c r="P112" s="2"/>
      <c r="Q112" s="2"/>
      <c r="R112" s="2"/>
    </row>
    <row r="113" spans="1:18" ht="15.75" x14ac:dyDescent="0.25">
      <c r="A113" s="76"/>
      <c r="B113" s="2"/>
      <c r="C113" s="74"/>
      <c r="D113" s="74"/>
      <c r="E113" s="74"/>
      <c r="F113" s="74"/>
      <c r="G113" s="74"/>
      <c r="H113" s="74"/>
      <c r="I113" s="74"/>
      <c r="J113" s="74"/>
      <c r="K113" s="192"/>
      <c r="L113" s="192"/>
      <c r="M113" s="75"/>
      <c r="N113" s="2"/>
      <c r="O113" s="2"/>
      <c r="P113" s="2"/>
      <c r="Q113" s="2"/>
      <c r="R113" s="2"/>
    </row>
    <row r="114" spans="1:18" ht="15.75" x14ac:dyDescent="0.25">
      <c r="A114" s="76"/>
      <c r="B114" s="77"/>
      <c r="C114" s="74"/>
      <c r="D114" s="74"/>
      <c r="E114" s="74"/>
      <c r="F114" s="74"/>
      <c r="G114" s="74"/>
      <c r="H114" s="74"/>
      <c r="I114" s="74"/>
      <c r="J114" s="74"/>
      <c r="K114" s="192"/>
      <c r="L114" s="192"/>
      <c r="M114" s="75"/>
      <c r="N114" s="2"/>
      <c r="O114" s="2"/>
      <c r="P114" s="2"/>
      <c r="Q114" s="2"/>
      <c r="R114" s="2"/>
    </row>
    <row r="115" spans="1:18" x14ac:dyDescent="0.2">
      <c r="A115" s="2"/>
      <c r="B115" s="77"/>
      <c r="C115" s="74"/>
      <c r="D115" s="74"/>
      <c r="E115" s="74"/>
      <c r="F115" s="74"/>
      <c r="G115" s="74"/>
      <c r="H115" s="74"/>
      <c r="I115" s="74"/>
      <c r="J115" s="74"/>
      <c r="K115" s="192"/>
      <c r="L115" s="192"/>
      <c r="M115" s="75"/>
      <c r="N115" s="2"/>
      <c r="O115" s="2"/>
      <c r="P115" s="2"/>
      <c r="Q115" s="2"/>
      <c r="R115" s="2"/>
    </row>
    <row r="116" spans="1:18" x14ac:dyDescent="0.2">
      <c r="A116" s="2"/>
      <c r="B116" s="77"/>
      <c r="C116" s="74"/>
      <c r="D116" s="74"/>
      <c r="E116" s="74"/>
      <c r="F116" s="74"/>
      <c r="G116" s="74"/>
      <c r="H116" s="74"/>
      <c r="I116" s="74"/>
      <c r="J116" s="74"/>
      <c r="K116" s="192"/>
      <c r="L116" s="192"/>
      <c r="M116" s="75"/>
      <c r="N116" s="2"/>
      <c r="O116" s="2"/>
      <c r="P116" s="2"/>
      <c r="Q116" s="2"/>
      <c r="R116" s="2"/>
    </row>
    <row r="117" spans="1:18" x14ac:dyDescent="0.2">
      <c r="A117" s="2"/>
      <c r="B117" s="77"/>
      <c r="C117" s="74"/>
      <c r="D117" s="74"/>
      <c r="E117" s="74"/>
      <c r="F117" s="74"/>
      <c r="G117" s="74"/>
      <c r="H117" s="74"/>
      <c r="I117" s="74"/>
      <c r="J117" s="74"/>
      <c r="K117" s="192"/>
      <c r="L117" s="192"/>
      <c r="M117" s="75"/>
      <c r="N117" s="2"/>
      <c r="O117" s="2"/>
      <c r="P117" s="2"/>
      <c r="Q117" s="2"/>
      <c r="R117" s="2"/>
    </row>
    <row r="118" spans="1:18" x14ac:dyDescent="0.2">
      <c r="A118" s="2"/>
      <c r="B118" s="77"/>
      <c r="C118" s="74"/>
      <c r="D118" s="74"/>
      <c r="E118" s="74"/>
      <c r="F118" s="74"/>
      <c r="G118" s="74"/>
      <c r="H118" s="74"/>
      <c r="I118" s="74"/>
      <c r="J118" s="74"/>
      <c r="K118" s="192"/>
      <c r="L118" s="192"/>
      <c r="M118" s="75"/>
      <c r="N118" s="2"/>
      <c r="O118" s="2"/>
      <c r="P118" s="2"/>
      <c r="Q118" s="2"/>
      <c r="R118" s="2"/>
    </row>
    <row r="119" spans="1:18" x14ac:dyDescent="0.2">
      <c r="A119" s="2"/>
      <c r="B119" s="77"/>
      <c r="C119" s="74"/>
      <c r="D119" s="74"/>
      <c r="E119" s="74"/>
      <c r="F119" s="74"/>
      <c r="G119" s="74"/>
      <c r="H119" s="74"/>
      <c r="I119" s="74"/>
      <c r="J119" s="74"/>
      <c r="K119" s="192"/>
      <c r="L119" s="192"/>
      <c r="M119" s="75"/>
      <c r="N119" s="2"/>
      <c r="O119" s="2"/>
      <c r="P119" s="2"/>
      <c r="Q119" s="2"/>
      <c r="R119" s="2"/>
    </row>
    <row r="120" spans="1:18" x14ac:dyDescent="0.2">
      <c r="A120" s="2"/>
      <c r="B120" s="77"/>
      <c r="C120" s="74"/>
      <c r="D120" s="74"/>
      <c r="E120" s="74"/>
      <c r="F120" s="74"/>
      <c r="G120" s="74"/>
      <c r="H120" s="74"/>
      <c r="I120" s="74"/>
      <c r="J120" s="74"/>
      <c r="K120" s="192"/>
      <c r="L120" s="192"/>
      <c r="M120" s="75"/>
      <c r="N120" s="2"/>
      <c r="O120" s="2"/>
      <c r="P120" s="2"/>
      <c r="Q120" s="2"/>
      <c r="R120" s="2"/>
    </row>
    <row r="121" spans="1:18" x14ac:dyDescent="0.2">
      <c r="A121" s="2"/>
      <c r="B121" s="77"/>
      <c r="C121" s="74"/>
      <c r="D121" s="74"/>
      <c r="E121" s="74"/>
      <c r="F121" s="74"/>
      <c r="G121" s="74"/>
      <c r="H121" s="74"/>
      <c r="I121" s="74"/>
      <c r="J121" s="74"/>
      <c r="K121" s="192"/>
      <c r="L121" s="192"/>
      <c r="M121" s="75"/>
      <c r="N121" s="2"/>
      <c r="O121" s="2"/>
      <c r="P121" s="2"/>
      <c r="Q121" s="2"/>
      <c r="R121" s="2"/>
    </row>
    <row r="122" spans="1:18" x14ac:dyDescent="0.2">
      <c r="A122" s="2"/>
      <c r="B122" s="77"/>
      <c r="C122" s="74"/>
      <c r="D122" s="74"/>
      <c r="E122" s="74"/>
      <c r="F122" s="74"/>
      <c r="G122" s="74"/>
      <c r="H122" s="74"/>
      <c r="I122" s="74"/>
      <c r="J122" s="74"/>
      <c r="K122" s="192"/>
      <c r="L122" s="192"/>
      <c r="M122" s="75"/>
      <c r="N122" s="2"/>
      <c r="O122" s="2"/>
      <c r="P122" s="2"/>
      <c r="Q122" s="2"/>
      <c r="R122" s="2"/>
    </row>
    <row r="123" spans="1:18" x14ac:dyDescent="0.2">
      <c r="A123" s="2"/>
      <c r="B123" s="77"/>
      <c r="C123" s="74"/>
      <c r="D123" s="74"/>
      <c r="E123" s="74"/>
      <c r="F123" s="74"/>
      <c r="G123" s="74"/>
      <c r="H123" s="74"/>
      <c r="I123" s="74"/>
      <c r="J123" s="74"/>
      <c r="K123" s="192"/>
      <c r="L123" s="192"/>
      <c r="M123" s="75"/>
      <c r="N123" s="2"/>
      <c r="O123" s="2"/>
      <c r="P123" s="2"/>
      <c r="Q123" s="2"/>
      <c r="R123" s="2"/>
    </row>
    <row r="124" spans="1:18" x14ac:dyDescent="0.2">
      <c r="A124" s="2"/>
      <c r="B124" s="77"/>
      <c r="C124" s="74"/>
      <c r="D124" s="74"/>
      <c r="E124" s="74"/>
      <c r="F124" s="74"/>
      <c r="G124" s="74"/>
      <c r="H124" s="74"/>
      <c r="I124" s="74"/>
      <c r="J124" s="74"/>
      <c r="K124" s="192"/>
      <c r="L124" s="192"/>
      <c r="M124" s="75"/>
      <c r="N124" s="2"/>
      <c r="O124" s="2"/>
      <c r="P124" s="2"/>
      <c r="Q124" s="2"/>
      <c r="R124" s="2"/>
    </row>
    <row r="125" spans="1:18" x14ac:dyDescent="0.2">
      <c r="A125" s="2"/>
      <c r="B125" s="77"/>
      <c r="C125" s="74"/>
      <c r="D125" s="74"/>
      <c r="E125" s="74"/>
      <c r="F125" s="74"/>
      <c r="G125" s="74"/>
      <c r="H125" s="74"/>
      <c r="I125" s="74"/>
      <c r="J125" s="74"/>
      <c r="K125" s="192"/>
      <c r="L125" s="192"/>
      <c r="M125" s="75"/>
      <c r="N125" s="2"/>
      <c r="O125" s="2"/>
      <c r="P125" s="2"/>
      <c r="Q125" s="2"/>
      <c r="R125" s="2"/>
    </row>
    <row r="126" spans="1:18" x14ac:dyDescent="0.2">
      <c r="A126" s="2"/>
      <c r="B126" s="2"/>
      <c r="C126" s="74"/>
      <c r="D126" s="74"/>
      <c r="E126" s="74"/>
      <c r="F126" s="74"/>
      <c r="G126" s="74"/>
      <c r="H126" s="74"/>
      <c r="I126" s="74"/>
      <c r="J126" s="74"/>
      <c r="K126" s="192"/>
      <c r="L126" s="192"/>
      <c r="M126" s="75"/>
      <c r="N126" s="2"/>
      <c r="O126" s="2"/>
      <c r="P126" s="2"/>
      <c r="Q126" s="2"/>
      <c r="R126" s="2"/>
    </row>
    <row r="127" spans="1:18" ht="15.75" x14ac:dyDescent="0.25">
      <c r="A127" s="76"/>
      <c r="B127" s="2"/>
      <c r="C127" s="74"/>
      <c r="D127" s="74"/>
      <c r="E127" s="74"/>
      <c r="F127" s="74"/>
      <c r="G127" s="74"/>
      <c r="H127" s="74"/>
      <c r="I127" s="74"/>
      <c r="J127" s="74"/>
      <c r="K127" s="192"/>
      <c r="L127" s="192"/>
      <c r="M127" s="75"/>
      <c r="N127" s="2"/>
      <c r="O127" s="2"/>
      <c r="P127" s="2"/>
      <c r="Q127" s="2"/>
      <c r="R127" s="2"/>
    </row>
    <row r="128" spans="1:18" x14ac:dyDescent="0.2">
      <c r="A128" s="2"/>
      <c r="B128" s="2"/>
      <c r="C128" s="74"/>
      <c r="D128" s="74"/>
      <c r="E128" s="74"/>
      <c r="F128" s="74"/>
      <c r="G128" s="74"/>
      <c r="H128" s="74"/>
      <c r="I128" s="74"/>
      <c r="J128" s="74"/>
      <c r="K128" s="192"/>
      <c r="L128" s="192"/>
      <c r="M128" s="75"/>
      <c r="N128" s="2"/>
      <c r="O128" s="2"/>
      <c r="P128" s="2"/>
      <c r="Q128" s="2"/>
      <c r="R128" s="2"/>
    </row>
    <row r="129" spans="1:18" x14ac:dyDescent="0.2">
      <c r="A129" s="2"/>
      <c r="B129" s="2"/>
      <c r="C129" s="74"/>
      <c r="D129" s="74"/>
      <c r="E129" s="74"/>
      <c r="F129" s="74"/>
      <c r="G129" s="74"/>
      <c r="H129" s="74"/>
      <c r="I129" s="74"/>
      <c r="J129" s="74"/>
      <c r="K129" s="192"/>
      <c r="L129" s="192"/>
      <c r="M129" s="75"/>
      <c r="N129" s="2"/>
      <c r="O129" s="2"/>
      <c r="P129" s="2"/>
      <c r="Q129" s="2"/>
      <c r="R129" s="2"/>
    </row>
    <row r="130" spans="1:18" ht="15.75" x14ac:dyDescent="0.25">
      <c r="A130" s="76"/>
      <c r="B130" s="77"/>
      <c r="C130" s="74"/>
      <c r="D130" s="74"/>
      <c r="E130" s="74"/>
      <c r="F130" s="74"/>
      <c r="G130" s="74"/>
      <c r="H130" s="74"/>
      <c r="I130" s="74"/>
      <c r="J130" s="74"/>
      <c r="K130" s="192"/>
      <c r="L130" s="192"/>
      <c r="M130" s="75"/>
      <c r="N130" s="2"/>
      <c r="O130" s="2"/>
      <c r="P130" s="2"/>
      <c r="Q130" s="2"/>
      <c r="R130" s="2"/>
    </row>
    <row r="131" spans="1:18" x14ac:dyDescent="0.2">
      <c r="A131" s="2"/>
      <c r="B131" s="77"/>
      <c r="C131" s="74"/>
      <c r="D131" s="74"/>
      <c r="E131" s="74"/>
      <c r="F131" s="74"/>
      <c r="G131" s="74"/>
      <c r="H131" s="74"/>
      <c r="I131" s="74"/>
      <c r="J131" s="74"/>
      <c r="K131" s="192"/>
      <c r="L131" s="192"/>
      <c r="M131" s="75"/>
      <c r="N131" s="2"/>
      <c r="O131" s="2"/>
      <c r="P131" s="2"/>
      <c r="Q131" s="2"/>
      <c r="R131" s="2"/>
    </row>
    <row r="132" spans="1:18" x14ac:dyDescent="0.2">
      <c r="A132" s="2"/>
      <c r="B132" s="77"/>
      <c r="C132" s="74"/>
      <c r="D132" s="74"/>
      <c r="E132" s="74"/>
      <c r="F132" s="74"/>
      <c r="G132" s="74"/>
      <c r="H132" s="74"/>
      <c r="I132" s="74"/>
      <c r="J132" s="74"/>
      <c r="K132" s="192"/>
      <c r="L132" s="192"/>
      <c r="M132" s="75"/>
      <c r="N132" s="2"/>
      <c r="O132" s="2"/>
      <c r="P132" s="2"/>
      <c r="Q132" s="2"/>
      <c r="R132" s="2"/>
    </row>
    <row r="133" spans="1:18" x14ac:dyDescent="0.2">
      <c r="A133" s="2"/>
      <c r="B133" s="2"/>
      <c r="C133" s="74"/>
      <c r="D133" s="74"/>
      <c r="E133" s="74"/>
      <c r="F133" s="74"/>
      <c r="G133" s="74"/>
      <c r="H133" s="74"/>
      <c r="I133" s="74"/>
      <c r="J133" s="74"/>
      <c r="K133" s="192"/>
      <c r="L133" s="192"/>
      <c r="M133" s="75"/>
      <c r="N133" s="2"/>
      <c r="O133" s="2"/>
      <c r="P133" s="2"/>
      <c r="Q133" s="2"/>
      <c r="R133" s="2"/>
    </row>
    <row r="134" spans="1:18" x14ac:dyDescent="0.2">
      <c r="A134" s="2"/>
      <c r="B134" s="2"/>
      <c r="C134" s="74"/>
      <c r="D134" s="74"/>
      <c r="E134" s="74"/>
      <c r="F134" s="74"/>
      <c r="G134" s="74"/>
      <c r="H134" s="74"/>
      <c r="I134" s="74"/>
      <c r="J134" s="74"/>
      <c r="K134" s="192"/>
      <c r="L134" s="192"/>
      <c r="M134" s="75"/>
      <c r="N134" s="2"/>
      <c r="O134" s="2"/>
      <c r="P134" s="2"/>
      <c r="Q134" s="2"/>
      <c r="R134" s="2"/>
    </row>
    <row r="135" spans="1:18" x14ac:dyDescent="0.2">
      <c r="A135" s="2"/>
      <c r="B135" s="2"/>
      <c r="C135" s="74"/>
      <c r="D135" s="74"/>
      <c r="E135" s="74"/>
      <c r="F135" s="74"/>
      <c r="G135" s="74"/>
      <c r="H135" s="74"/>
      <c r="I135" s="74"/>
      <c r="J135" s="74"/>
      <c r="K135" s="192"/>
      <c r="L135" s="192"/>
      <c r="M135" s="75"/>
      <c r="N135" s="2"/>
      <c r="O135" s="2"/>
      <c r="P135" s="2"/>
      <c r="Q135" s="2"/>
      <c r="R135" s="2"/>
    </row>
    <row r="136" spans="1:18" ht="15.75" x14ac:dyDescent="0.25">
      <c r="A136" s="76"/>
      <c r="B136" s="2"/>
      <c r="C136" s="74"/>
      <c r="D136" s="74"/>
      <c r="E136" s="74"/>
      <c r="F136" s="74"/>
      <c r="G136" s="74"/>
      <c r="H136" s="74"/>
      <c r="I136" s="74"/>
      <c r="J136" s="74"/>
      <c r="K136" s="192"/>
      <c r="L136" s="192"/>
      <c r="M136" s="75"/>
      <c r="N136" s="2"/>
      <c r="O136" s="2"/>
      <c r="P136" s="2"/>
      <c r="Q136" s="2"/>
      <c r="R136" s="2"/>
    </row>
    <row r="137" spans="1:18" x14ac:dyDescent="0.2">
      <c r="A137" s="2"/>
      <c r="B137" s="2"/>
      <c r="C137" s="74"/>
      <c r="D137" s="74"/>
      <c r="E137" s="74"/>
      <c r="F137" s="74"/>
      <c r="G137" s="74"/>
      <c r="H137" s="74"/>
      <c r="I137" s="74"/>
      <c r="J137" s="74"/>
      <c r="K137" s="192"/>
      <c r="L137" s="192"/>
      <c r="M137" s="75"/>
      <c r="N137" s="2"/>
      <c r="O137" s="2"/>
      <c r="P137" s="2"/>
      <c r="Q137" s="2"/>
      <c r="R137" s="2"/>
    </row>
    <row r="138" spans="1:18" x14ac:dyDescent="0.2">
      <c r="A138" s="2"/>
      <c r="B138" s="2"/>
      <c r="C138" s="74"/>
      <c r="D138" s="74"/>
      <c r="E138" s="74"/>
      <c r="F138" s="74"/>
      <c r="G138" s="74"/>
      <c r="H138" s="74"/>
      <c r="I138" s="74"/>
      <c r="J138" s="74"/>
      <c r="K138" s="192"/>
      <c r="L138" s="192"/>
      <c r="M138" s="75"/>
      <c r="N138" s="2"/>
      <c r="O138" s="2"/>
      <c r="P138" s="2"/>
      <c r="Q138" s="2"/>
      <c r="R138" s="2"/>
    </row>
    <row r="139" spans="1:18" ht="15.75" x14ac:dyDescent="0.25">
      <c r="A139" s="76"/>
      <c r="B139" s="76"/>
      <c r="C139" s="74"/>
      <c r="D139" s="74"/>
      <c r="E139" s="74"/>
      <c r="F139" s="74"/>
      <c r="G139" s="74"/>
      <c r="H139" s="74"/>
      <c r="I139" s="74"/>
      <c r="J139" s="74"/>
      <c r="K139" s="192"/>
      <c r="L139" s="192"/>
      <c r="M139" s="75"/>
      <c r="N139" s="2"/>
      <c r="O139" s="2"/>
      <c r="P139" s="2"/>
      <c r="Q139" s="2"/>
      <c r="R139" s="2"/>
    </row>
    <row r="140" spans="1:18" x14ac:dyDescent="0.2">
      <c r="A140" s="2"/>
      <c r="B140" s="2"/>
      <c r="C140" s="74"/>
      <c r="D140" s="74"/>
      <c r="E140" s="74"/>
      <c r="F140" s="74"/>
      <c r="G140" s="74"/>
      <c r="H140" s="74"/>
      <c r="I140" s="74"/>
      <c r="J140" s="74"/>
      <c r="K140" s="192"/>
      <c r="L140" s="192"/>
      <c r="M140" s="75"/>
      <c r="N140" s="2"/>
      <c r="O140" s="2"/>
      <c r="P140" s="2"/>
      <c r="Q140" s="2"/>
      <c r="R140" s="2"/>
    </row>
    <row r="141" spans="1:18" x14ac:dyDescent="0.2">
      <c r="A141" s="2"/>
      <c r="B141" s="2"/>
      <c r="C141" s="74"/>
      <c r="D141" s="74"/>
      <c r="E141" s="74"/>
      <c r="F141" s="74"/>
      <c r="G141" s="74"/>
      <c r="H141" s="74"/>
      <c r="I141" s="74"/>
      <c r="J141" s="74"/>
      <c r="K141" s="192"/>
      <c r="L141" s="192"/>
      <c r="M141" s="75"/>
      <c r="N141" s="2"/>
      <c r="O141" s="2"/>
      <c r="P141" s="2"/>
      <c r="Q141" s="2"/>
      <c r="R141" s="2"/>
    </row>
    <row r="142" spans="1:18" x14ac:dyDescent="0.2">
      <c r="A142" s="2"/>
      <c r="B142" s="2"/>
      <c r="C142" s="74"/>
      <c r="D142" s="74"/>
      <c r="E142" s="74"/>
      <c r="F142" s="74"/>
      <c r="G142" s="74"/>
      <c r="H142" s="74"/>
      <c r="I142" s="74"/>
      <c r="J142" s="74"/>
      <c r="K142" s="192"/>
      <c r="L142" s="192"/>
      <c r="M142" s="75"/>
      <c r="N142" s="2"/>
      <c r="O142" s="2"/>
      <c r="P142" s="2"/>
      <c r="Q142" s="2"/>
      <c r="R142" s="2"/>
    </row>
    <row r="143" spans="1:18" x14ac:dyDescent="0.2">
      <c r="A143" s="2"/>
      <c r="B143" s="2"/>
      <c r="C143" s="74"/>
      <c r="D143" s="74"/>
      <c r="E143" s="74"/>
      <c r="F143" s="74"/>
      <c r="G143" s="74"/>
      <c r="H143" s="74"/>
      <c r="I143" s="74"/>
      <c r="J143" s="74"/>
      <c r="K143" s="192"/>
      <c r="L143" s="192"/>
      <c r="M143" s="75"/>
      <c r="N143" s="2"/>
      <c r="O143" s="2"/>
      <c r="P143" s="2"/>
      <c r="Q143" s="2"/>
      <c r="R143" s="2"/>
    </row>
    <row r="144" spans="1:18" x14ac:dyDescent="0.2">
      <c r="A144" s="2"/>
      <c r="B144" s="2"/>
      <c r="C144" s="74"/>
      <c r="D144" s="74"/>
      <c r="E144" s="74"/>
      <c r="F144" s="74"/>
      <c r="G144" s="74"/>
      <c r="H144" s="74"/>
      <c r="I144" s="74"/>
      <c r="J144" s="74"/>
      <c r="K144" s="192"/>
      <c r="L144" s="192"/>
      <c r="M144" s="75"/>
      <c r="N144" s="2"/>
      <c r="O144" s="2"/>
      <c r="P144" s="2"/>
      <c r="Q144" s="2"/>
      <c r="R144" s="2"/>
    </row>
    <row r="145" spans="1:18" x14ac:dyDescent="0.2">
      <c r="A145" s="2"/>
      <c r="B145" s="2"/>
      <c r="C145" s="74"/>
      <c r="D145" s="74"/>
      <c r="E145" s="74"/>
      <c r="F145" s="74"/>
      <c r="G145" s="74"/>
      <c r="H145" s="74"/>
      <c r="I145" s="74"/>
      <c r="J145" s="74"/>
      <c r="K145" s="192"/>
      <c r="L145" s="192"/>
      <c r="M145" s="75"/>
      <c r="N145" s="2"/>
      <c r="O145" s="2"/>
      <c r="P145" s="2"/>
      <c r="Q145" s="2"/>
      <c r="R145" s="2"/>
    </row>
    <row r="146" spans="1:18" x14ac:dyDescent="0.2">
      <c r="A146" s="2"/>
      <c r="B146" s="2"/>
      <c r="C146" s="74"/>
      <c r="D146" s="74"/>
      <c r="E146" s="74"/>
      <c r="F146" s="74"/>
      <c r="G146" s="74"/>
      <c r="H146" s="74"/>
      <c r="I146" s="74"/>
      <c r="J146" s="74"/>
      <c r="K146" s="192"/>
      <c r="L146" s="192"/>
      <c r="M146" s="75"/>
      <c r="N146" s="2"/>
      <c r="O146" s="2"/>
      <c r="P146" s="2"/>
      <c r="Q146" s="2"/>
      <c r="R146" s="2"/>
    </row>
    <row r="147" spans="1:18" x14ac:dyDescent="0.2">
      <c r="A147" s="2"/>
      <c r="B147" s="2"/>
      <c r="C147" s="74"/>
      <c r="D147" s="74"/>
      <c r="E147" s="74"/>
      <c r="F147" s="74"/>
      <c r="G147" s="74"/>
      <c r="H147" s="74"/>
      <c r="I147" s="74"/>
      <c r="J147" s="74"/>
      <c r="K147" s="192"/>
      <c r="L147" s="192"/>
      <c r="M147" s="75"/>
      <c r="N147" s="2"/>
      <c r="O147" s="2"/>
      <c r="P147" s="2"/>
      <c r="Q147" s="2"/>
      <c r="R147" s="2"/>
    </row>
    <row r="148" spans="1:18" x14ac:dyDescent="0.2">
      <c r="A148" s="2"/>
      <c r="B148" s="2"/>
      <c r="C148" s="74"/>
      <c r="D148" s="74"/>
      <c r="E148" s="74"/>
      <c r="F148" s="74"/>
      <c r="G148" s="74"/>
      <c r="H148" s="74"/>
      <c r="I148" s="74"/>
      <c r="J148" s="74"/>
      <c r="K148" s="192"/>
      <c r="L148" s="192"/>
      <c r="M148" s="75"/>
      <c r="N148" s="2"/>
      <c r="O148" s="2"/>
      <c r="P148" s="2"/>
      <c r="Q148" s="2"/>
      <c r="R148" s="2"/>
    </row>
    <row r="149" spans="1:18" x14ac:dyDescent="0.2">
      <c r="A149" s="2"/>
      <c r="B149" s="2"/>
      <c r="C149" s="74"/>
      <c r="D149" s="74"/>
      <c r="E149" s="74"/>
      <c r="F149" s="74"/>
      <c r="G149" s="74"/>
      <c r="H149" s="74"/>
      <c r="I149" s="74"/>
      <c r="J149" s="74"/>
      <c r="K149" s="192"/>
      <c r="L149" s="192"/>
      <c r="M149" s="75"/>
      <c r="N149" s="2"/>
      <c r="O149" s="2"/>
      <c r="P149" s="2"/>
      <c r="Q149" s="2"/>
      <c r="R149" s="2"/>
    </row>
    <row r="150" spans="1:18" x14ac:dyDescent="0.2">
      <c r="A150" s="2"/>
      <c r="B150" s="2"/>
      <c r="C150" s="74"/>
      <c r="D150" s="74"/>
      <c r="E150" s="74"/>
      <c r="F150" s="74"/>
      <c r="G150" s="74"/>
      <c r="H150" s="74"/>
      <c r="I150" s="74"/>
      <c r="J150" s="74"/>
      <c r="K150" s="192"/>
      <c r="L150" s="192"/>
      <c r="M150" s="75"/>
      <c r="N150" s="2"/>
      <c r="O150" s="2"/>
      <c r="P150" s="2"/>
      <c r="Q150" s="2"/>
      <c r="R150" s="2"/>
    </row>
    <row r="151" spans="1:18" x14ac:dyDescent="0.2">
      <c r="A151" s="2"/>
      <c r="B151" s="2"/>
      <c r="C151" s="74"/>
      <c r="D151" s="74"/>
      <c r="E151" s="74"/>
      <c r="F151" s="74"/>
      <c r="G151" s="74"/>
      <c r="H151" s="74"/>
      <c r="I151" s="74"/>
      <c r="J151" s="74"/>
      <c r="K151" s="192"/>
      <c r="L151" s="192"/>
      <c r="M151" s="75"/>
      <c r="N151" s="2"/>
      <c r="O151" s="2"/>
      <c r="P151" s="2"/>
      <c r="Q151" s="2"/>
      <c r="R151" s="2"/>
    </row>
    <row r="152" spans="1:18" x14ac:dyDescent="0.2">
      <c r="A152" s="2"/>
      <c r="B152" s="2"/>
      <c r="C152" s="74"/>
      <c r="D152" s="74"/>
      <c r="E152" s="74"/>
      <c r="F152" s="74"/>
      <c r="G152" s="74"/>
      <c r="H152" s="74"/>
      <c r="I152" s="74"/>
      <c r="J152" s="74"/>
      <c r="K152" s="192"/>
      <c r="L152" s="192"/>
      <c r="M152" s="75"/>
      <c r="N152" s="2"/>
      <c r="O152" s="2"/>
      <c r="P152" s="2"/>
      <c r="Q152" s="2"/>
      <c r="R152" s="2"/>
    </row>
    <row r="153" spans="1:18" x14ac:dyDescent="0.2">
      <c r="A153" s="2"/>
      <c r="B153" s="2"/>
      <c r="C153" s="74"/>
      <c r="D153" s="74"/>
      <c r="E153" s="74"/>
      <c r="F153" s="74"/>
      <c r="G153" s="74"/>
      <c r="H153" s="74"/>
      <c r="I153" s="74"/>
      <c r="J153" s="74"/>
      <c r="K153" s="192"/>
      <c r="L153" s="192"/>
      <c r="M153" s="75"/>
      <c r="N153" s="2"/>
      <c r="O153" s="2"/>
      <c r="P153" s="2"/>
      <c r="Q153" s="2"/>
      <c r="R153" s="2"/>
    </row>
    <row r="154" spans="1:18" x14ac:dyDescent="0.2">
      <c r="A154" s="2"/>
      <c r="B154" s="2"/>
      <c r="C154" s="74"/>
      <c r="D154" s="74"/>
      <c r="E154" s="74"/>
      <c r="F154" s="74"/>
      <c r="G154" s="74"/>
      <c r="H154" s="74"/>
      <c r="I154" s="74"/>
      <c r="J154" s="74"/>
      <c r="K154" s="192"/>
      <c r="L154" s="192"/>
      <c r="M154" s="75"/>
      <c r="N154" s="2"/>
      <c r="O154" s="2"/>
      <c r="P154" s="2"/>
      <c r="Q154" s="2"/>
      <c r="R154" s="2"/>
    </row>
    <row r="155" spans="1:18" x14ac:dyDescent="0.2">
      <c r="A155" s="2"/>
      <c r="B155" s="2"/>
      <c r="C155" s="74"/>
      <c r="D155" s="74"/>
      <c r="E155" s="74"/>
      <c r="F155" s="74"/>
      <c r="G155" s="74"/>
      <c r="H155" s="74"/>
      <c r="I155" s="74"/>
      <c r="J155" s="74"/>
      <c r="K155" s="192"/>
      <c r="L155" s="192"/>
      <c r="M155" s="75"/>
      <c r="N155" s="2"/>
      <c r="O155" s="2"/>
      <c r="P155" s="2"/>
      <c r="Q155" s="2"/>
      <c r="R155" s="2"/>
    </row>
    <row r="156" spans="1:18" x14ac:dyDescent="0.2">
      <c r="A156" s="2"/>
      <c r="B156" s="2"/>
      <c r="C156" s="74"/>
      <c r="D156" s="74"/>
      <c r="E156" s="74"/>
      <c r="F156" s="74"/>
      <c r="G156" s="74"/>
      <c r="H156" s="74"/>
      <c r="I156" s="74"/>
      <c r="J156" s="74"/>
      <c r="K156" s="192"/>
      <c r="L156" s="192"/>
      <c r="M156" s="75"/>
      <c r="N156" s="2"/>
      <c r="O156" s="2"/>
      <c r="P156" s="2"/>
      <c r="Q156" s="2"/>
      <c r="R156" s="2"/>
    </row>
    <row r="157" spans="1:18" x14ac:dyDescent="0.2">
      <c r="A157" s="2"/>
      <c r="B157" s="2"/>
      <c r="C157" s="74"/>
      <c r="D157" s="74"/>
      <c r="E157" s="74"/>
      <c r="F157" s="74"/>
      <c r="G157" s="74"/>
      <c r="H157" s="74"/>
      <c r="I157" s="74"/>
      <c r="J157" s="74"/>
      <c r="K157" s="192"/>
      <c r="L157" s="192"/>
      <c r="M157" s="75"/>
      <c r="N157" s="2"/>
      <c r="O157" s="2"/>
      <c r="P157" s="2"/>
      <c r="Q157" s="2"/>
      <c r="R157" s="2"/>
    </row>
    <row r="158" spans="1:18" x14ac:dyDescent="0.2">
      <c r="A158" s="2"/>
      <c r="B158" s="2"/>
      <c r="C158" s="74"/>
      <c r="D158" s="74"/>
      <c r="E158" s="74"/>
      <c r="F158" s="74"/>
      <c r="G158" s="74"/>
      <c r="H158" s="74"/>
      <c r="I158" s="74"/>
      <c r="J158" s="74"/>
      <c r="K158" s="192"/>
      <c r="L158" s="192"/>
      <c r="M158" s="75"/>
      <c r="N158" s="2"/>
      <c r="O158" s="2"/>
      <c r="P158" s="2"/>
      <c r="Q158" s="2"/>
      <c r="R158" s="2"/>
    </row>
    <row r="159" spans="1:18" x14ac:dyDescent="0.2">
      <c r="A159" s="2"/>
      <c r="B159" s="2"/>
      <c r="C159" s="74"/>
      <c r="D159" s="74"/>
      <c r="E159" s="74"/>
      <c r="F159" s="74"/>
      <c r="G159" s="74"/>
      <c r="H159" s="74"/>
      <c r="I159" s="74"/>
      <c r="J159" s="74"/>
      <c r="K159" s="192"/>
      <c r="L159" s="192"/>
      <c r="M159" s="75"/>
      <c r="N159" s="2"/>
      <c r="O159" s="2"/>
      <c r="P159" s="2"/>
      <c r="Q159" s="2"/>
      <c r="R159" s="2"/>
    </row>
    <row r="160" spans="1:18" x14ac:dyDescent="0.2">
      <c r="A160" s="2"/>
      <c r="B160" s="2"/>
      <c r="C160" s="74"/>
      <c r="D160" s="74"/>
      <c r="E160" s="74"/>
      <c r="F160" s="74"/>
      <c r="G160" s="74"/>
      <c r="H160" s="74"/>
      <c r="I160" s="74"/>
      <c r="J160" s="74"/>
      <c r="K160" s="192"/>
      <c r="L160" s="192"/>
      <c r="M160" s="75"/>
      <c r="N160" s="2"/>
      <c r="O160" s="2"/>
      <c r="P160" s="2"/>
      <c r="Q160" s="2"/>
      <c r="R160" s="2"/>
    </row>
    <row r="161" spans="1:18" x14ac:dyDescent="0.2">
      <c r="A161" s="2"/>
      <c r="B161" s="2"/>
      <c r="C161" s="74"/>
      <c r="D161" s="74"/>
      <c r="E161" s="74"/>
      <c r="F161" s="74"/>
      <c r="G161" s="74"/>
      <c r="H161" s="74"/>
      <c r="I161" s="74"/>
      <c r="J161" s="74"/>
      <c r="K161" s="192"/>
      <c r="L161" s="192"/>
      <c r="M161" s="75"/>
      <c r="N161" s="2"/>
      <c r="O161" s="2"/>
      <c r="P161" s="2"/>
      <c r="Q161" s="2"/>
      <c r="R161" s="2"/>
    </row>
    <row r="162" spans="1:18" x14ac:dyDescent="0.2">
      <c r="A162" s="2"/>
      <c r="B162" s="2"/>
      <c r="C162" s="74"/>
      <c r="D162" s="74"/>
      <c r="E162" s="74"/>
      <c r="F162" s="74"/>
      <c r="G162" s="74"/>
      <c r="H162" s="74"/>
      <c r="I162" s="74"/>
      <c r="J162" s="74"/>
      <c r="K162" s="192"/>
      <c r="L162" s="192"/>
      <c r="M162" s="75"/>
      <c r="N162" s="2"/>
      <c r="O162" s="2"/>
      <c r="P162" s="2"/>
      <c r="Q162" s="2"/>
      <c r="R162" s="2"/>
    </row>
    <row r="163" spans="1:18" x14ac:dyDescent="0.2">
      <c r="A163" s="2"/>
      <c r="B163" s="2"/>
      <c r="C163" s="74"/>
      <c r="D163" s="74"/>
      <c r="E163" s="74"/>
      <c r="F163" s="74"/>
      <c r="G163" s="74"/>
      <c r="H163" s="74"/>
      <c r="I163" s="74"/>
      <c r="J163" s="74"/>
      <c r="K163" s="192"/>
      <c r="L163" s="192"/>
      <c r="M163" s="75"/>
      <c r="N163" s="2"/>
      <c r="O163" s="2"/>
      <c r="P163" s="2"/>
      <c r="Q163" s="2"/>
      <c r="R163" s="2"/>
    </row>
    <row r="164" spans="1:18" x14ac:dyDescent="0.2">
      <c r="A164" s="2"/>
      <c r="B164" s="2"/>
      <c r="C164" s="74"/>
      <c r="D164" s="74"/>
      <c r="E164" s="74"/>
      <c r="F164" s="74"/>
      <c r="G164" s="74"/>
      <c r="H164" s="74"/>
      <c r="I164" s="74"/>
      <c r="J164" s="74"/>
      <c r="K164" s="192"/>
      <c r="L164" s="192"/>
      <c r="M164" s="75"/>
      <c r="N164" s="2"/>
      <c r="O164" s="2"/>
      <c r="P164" s="2"/>
      <c r="Q164" s="2"/>
      <c r="R164" s="2"/>
    </row>
    <row r="165" spans="1:18" x14ac:dyDescent="0.2">
      <c r="A165" s="2"/>
      <c r="B165" s="2"/>
      <c r="C165" s="74"/>
      <c r="D165" s="74"/>
      <c r="E165" s="74"/>
      <c r="F165" s="74"/>
      <c r="G165" s="74"/>
      <c r="H165" s="74"/>
      <c r="I165" s="74"/>
      <c r="J165" s="74"/>
      <c r="K165" s="192"/>
      <c r="L165" s="192"/>
      <c r="M165" s="75"/>
      <c r="N165" s="2"/>
      <c r="O165" s="2"/>
      <c r="P165" s="2"/>
      <c r="Q165" s="2"/>
      <c r="R165" s="2"/>
    </row>
    <row r="166" spans="1:18" x14ac:dyDescent="0.2">
      <c r="A166" s="2"/>
      <c r="B166" s="2"/>
      <c r="C166" s="74"/>
      <c r="D166" s="74"/>
      <c r="E166" s="74"/>
      <c r="F166" s="74"/>
      <c r="G166" s="74"/>
      <c r="H166" s="74"/>
      <c r="I166" s="74"/>
      <c r="J166" s="74"/>
      <c r="K166" s="192"/>
      <c r="L166" s="192"/>
      <c r="M166" s="75"/>
      <c r="N166" s="2"/>
      <c r="O166" s="2"/>
      <c r="P166" s="2"/>
      <c r="Q166" s="2"/>
      <c r="R166" s="2"/>
    </row>
    <row r="167" spans="1:18" x14ac:dyDescent="0.2">
      <c r="A167" s="2"/>
      <c r="B167" s="2"/>
      <c r="C167" s="74"/>
      <c r="D167" s="74"/>
      <c r="E167" s="74"/>
      <c r="F167" s="74"/>
      <c r="G167" s="74"/>
      <c r="H167" s="74"/>
      <c r="I167" s="74"/>
      <c r="J167" s="74"/>
      <c r="K167" s="192"/>
      <c r="L167" s="192"/>
      <c r="M167" s="75"/>
      <c r="N167" s="2"/>
      <c r="O167" s="2"/>
      <c r="P167" s="2"/>
      <c r="Q167" s="2"/>
      <c r="R167" s="2"/>
    </row>
    <row r="168" spans="1:18" x14ac:dyDescent="0.2">
      <c r="A168" s="2"/>
      <c r="B168" s="2"/>
      <c r="C168" s="74"/>
      <c r="D168" s="74"/>
      <c r="E168" s="74"/>
      <c r="F168" s="74"/>
      <c r="G168" s="74"/>
      <c r="H168" s="74"/>
      <c r="I168" s="74"/>
      <c r="J168" s="74"/>
      <c r="K168" s="192"/>
      <c r="L168" s="192"/>
      <c r="M168" s="75"/>
      <c r="N168" s="2"/>
      <c r="O168" s="2"/>
      <c r="P168" s="2"/>
      <c r="Q168" s="2"/>
      <c r="R168" s="2"/>
    </row>
    <row r="169" spans="1:18" x14ac:dyDescent="0.2">
      <c r="A169" s="2"/>
      <c r="B169" s="2"/>
      <c r="C169" s="74"/>
      <c r="D169" s="74"/>
      <c r="E169" s="74"/>
      <c r="F169" s="74"/>
      <c r="G169" s="74"/>
      <c r="H169" s="74"/>
      <c r="I169" s="74"/>
      <c r="J169" s="74"/>
      <c r="K169" s="192"/>
      <c r="L169" s="192"/>
      <c r="M169" s="75"/>
      <c r="N169" s="2"/>
      <c r="O169" s="2"/>
      <c r="P169" s="2"/>
      <c r="Q169" s="2"/>
      <c r="R169" s="2"/>
    </row>
    <row r="170" spans="1:18" x14ac:dyDescent="0.2">
      <c r="A170" s="2"/>
      <c r="B170" s="2"/>
      <c r="C170" s="74"/>
      <c r="D170" s="74"/>
      <c r="E170" s="74"/>
      <c r="F170" s="74"/>
      <c r="G170" s="74"/>
      <c r="H170" s="74"/>
      <c r="I170" s="74"/>
      <c r="J170" s="74"/>
      <c r="K170" s="192"/>
      <c r="L170" s="192"/>
      <c r="M170" s="75"/>
      <c r="N170" s="2"/>
      <c r="O170" s="2"/>
      <c r="P170" s="2"/>
      <c r="Q170" s="2"/>
      <c r="R170" s="2"/>
    </row>
    <row r="171" spans="1:18" x14ac:dyDescent="0.2">
      <c r="A171" s="2"/>
      <c r="B171" s="2"/>
      <c r="C171" s="74"/>
      <c r="D171" s="74"/>
      <c r="E171" s="74"/>
      <c r="F171" s="74"/>
      <c r="G171" s="74"/>
      <c r="H171" s="74"/>
      <c r="I171" s="74"/>
      <c r="J171" s="74"/>
      <c r="K171" s="192"/>
      <c r="L171" s="192"/>
      <c r="M171" s="75"/>
      <c r="N171" s="2"/>
      <c r="O171" s="2"/>
      <c r="P171" s="2"/>
      <c r="Q171" s="2"/>
      <c r="R171" s="2"/>
    </row>
    <row r="172" spans="1:18" x14ac:dyDescent="0.2">
      <c r="A172" s="2"/>
      <c r="B172" s="2"/>
      <c r="C172" s="74"/>
      <c r="D172" s="74"/>
      <c r="E172" s="74"/>
      <c r="F172" s="74"/>
      <c r="G172" s="74"/>
      <c r="H172" s="74"/>
      <c r="I172" s="74"/>
      <c r="J172" s="74"/>
      <c r="K172" s="192"/>
      <c r="L172" s="192"/>
      <c r="M172" s="75"/>
      <c r="N172" s="2"/>
      <c r="O172" s="2"/>
      <c r="P172" s="2"/>
      <c r="Q172" s="2"/>
      <c r="R172" s="2"/>
    </row>
    <row r="173" spans="1:18" x14ac:dyDescent="0.2">
      <c r="A173" s="2"/>
      <c r="B173" s="2"/>
      <c r="C173" s="74"/>
      <c r="D173" s="74"/>
      <c r="E173" s="74"/>
      <c r="F173" s="74"/>
      <c r="G173" s="74"/>
      <c r="H173" s="74"/>
      <c r="I173" s="74"/>
      <c r="J173" s="74"/>
      <c r="K173" s="192"/>
      <c r="L173" s="192"/>
      <c r="M173" s="75"/>
      <c r="N173" s="2"/>
      <c r="O173" s="2"/>
      <c r="P173" s="2"/>
      <c r="Q173" s="2"/>
      <c r="R173" s="2"/>
    </row>
    <row r="174" spans="1:18" x14ac:dyDescent="0.2">
      <c r="A174" s="2"/>
      <c r="B174" s="2"/>
      <c r="C174" s="74"/>
      <c r="D174" s="74"/>
      <c r="E174" s="74"/>
      <c r="F174" s="74"/>
      <c r="G174" s="74"/>
      <c r="H174" s="74"/>
      <c r="I174" s="74"/>
      <c r="J174" s="74"/>
      <c r="K174" s="192"/>
      <c r="L174" s="192"/>
      <c r="M174" s="75"/>
      <c r="N174" s="2"/>
      <c r="O174" s="2"/>
      <c r="P174" s="2"/>
      <c r="Q174" s="2"/>
      <c r="R174" s="2"/>
    </row>
    <row r="175" spans="1:18" x14ac:dyDescent="0.2">
      <c r="A175" s="2"/>
      <c r="B175" s="2"/>
      <c r="C175" s="74"/>
      <c r="D175" s="74"/>
      <c r="E175" s="74"/>
      <c r="F175" s="74"/>
      <c r="G175" s="74"/>
      <c r="H175" s="74"/>
      <c r="I175" s="74"/>
      <c r="J175" s="74"/>
      <c r="K175" s="192"/>
      <c r="L175" s="192"/>
      <c r="M175" s="75"/>
      <c r="N175" s="2"/>
      <c r="O175" s="2"/>
      <c r="P175" s="2"/>
      <c r="Q175" s="2"/>
      <c r="R175" s="2"/>
    </row>
    <row r="176" spans="1:18" x14ac:dyDescent="0.2">
      <c r="A176" s="2"/>
      <c r="B176" s="2"/>
      <c r="C176" s="74"/>
      <c r="D176" s="74"/>
      <c r="E176" s="74"/>
      <c r="F176" s="74"/>
      <c r="G176" s="74"/>
      <c r="H176" s="74"/>
      <c r="I176" s="74"/>
      <c r="J176" s="74"/>
      <c r="K176" s="192"/>
      <c r="L176" s="192"/>
      <c r="M176" s="75"/>
      <c r="N176" s="2"/>
      <c r="O176" s="2"/>
      <c r="P176" s="2"/>
      <c r="Q176" s="2"/>
      <c r="R176" s="2"/>
    </row>
    <row r="177" spans="1:18" x14ac:dyDescent="0.2">
      <c r="A177" s="2"/>
      <c r="B177" s="2"/>
      <c r="C177" s="74"/>
      <c r="D177" s="74"/>
      <c r="E177" s="74"/>
      <c r="F177" s="74"/>
      <c r="G177" s="74"/>
      <c r="H177" s="74"/>
      <c r="I177" s="74"/>
      <c r="J177" s="74"/>
      <c r="K177" s="192"/>
      <c r="L177" s="192"/>
      <c r="M177" s="75"/>
      <c r="N177" s="2"/>
      <c r="O177" s="2"/>
      <c r="P177" s="2"/>
      <c r="Q177" s="2"/>
      <c r="R177" s="2"/>
    </row>
    <row r="178" spans="1:18" x14ac:dyDescent="0.2">
      <c r="A178" s="2"/>
      <c r="B178" s="2"/>
      <c r="C178" s="74"/>
      <c r="D178" s="74"/>
      <c r="E178" s="74"/>
      <c r="F178" s="74"/>
      <c r="G178" s="74"/>
      <c r="H178" s="74"/>
      <c r="I178" s="74"/>
      <c r="J178" s="74"/>
      <c r="K178" s="192"/>
      <c r="L178" s="192"/>
      <c r="M178" s="75"/>
      <c r="N178" s="2"/>
      <c r="O178" s="2"/>
      <c r="P178" s="2"/>
      <c r="Q178" s="2"/>
      <c r="R178" s="2"/>
    </row>
    <row r="179" spans="1:18" x14ac:dyDescent="0.2">
      <c r="A179" s="2"/>
      <c r="B179" s="2"/>
      <c r="C179" s="74"/>
      <c r="D179" s="74"/>
      <c r="E179" s="74"/>
      <c r="F179" s="74"/>
      <c r="G179" s="74"/>
      <c r="H179" s="74"/>
      <c r="I179" s="74"/>
      <c r="J179" s="74"/>
      <c r="K179" s="192"/>
      <c r="L179" s="192"/>
      <c r="M179" s="75"/>
      <c r="N179" s="2"/>
      <c r="O179" s="2"/>
      <c r="P179" s="2"/>
      <c r="Q179" s="2"/>
      <c r="R179" s="2"/>
    </row>
    <row r="180" spans="1:18" x14ac:dyDescent="0.2">
      <c r="A180" s="2"/>
      <c r="B180" s="2"/>
      <c r="C180" s="74"/>
      <c r="D180" s="74"/>
      <c r="E180" s="74"/>
      <c r="F180" s="74"/>
      <c r="G180" s="74"/>
      <c r="H180" s="74"/>
      <c r="I180" s="74"/>
      <c r="J180" s="74"/>
      <c r="K180" s="192"/>
      <c r="L180" s="192"/>
      <c r="M180" s="75"/>
      <c r="N180" s="2"/>
      <c r="O180" s="2"/>
      <c r="P180" s="2"/>
      <c r="Q180" s="2"/>
      <c r="R180" s="2"/>
    </row>
    <row r="181" spans="1:18" x14ac:dyDescent="0.2">
      <c r="A181" s="2"/>
      <c r="B181" s="2"/>
      <c r="C181" s="74"/>
      <c r="D181" s="74"/>
      <c r="E181" s="74"/>
      <c r="F181" s="74"/>
      <c r="G181" s="74"/>
      <c r="H181" s="74"/>
      <c r="I181" s="74"/>
      <c r="J181" s="74"/>
      <c r="K181" s="192"/>
      <c r="L181" s="192"/>
      <c r="M181" s="75"/>
      <c r="N181" s="2"/>
      <c r="O181" s="2"/>
      <c r="P181" s="2"/>
      <c r="Q181" s="2"/>
      <c r="R181" s="2"/>
    </row>
    <row r="182" spans="1:18" x14ac:dyDescent="0.2">
      <c r="A182" s="2"/>
      <c r="B182" s="2"/>
      <c r="C182" s="74"/>
      <c r="D182" s="74"/>
      <c r="E182" s="74"/>
      <c r="F182" s="74"/>
      <c r="G182" s="74"/>
      <c r="H182" s="74"/>
      <c r="I182" s="74"/>
      <c r="J182" s="74"/>
      <c r="K182" s="192"/>
      <c r="L182" s="192"/>
      <c r="M182" s="75"/>
      <c r="N182" s="2"/>
      <c r="O182" s="2"/>
      <c r="P182" s="2"/>
      <c r="Q182" s="2"/>
      <c r="R182" s="2"/>
    </row>
    <row r="183" spans="1:18" x14ac:dyDescent="0.2">
      <c r="A183" s="2"/>
      <c r="B183" s="2"/>
      <c r="C183" s="74"/>
      <c r="D183" s="74"/>
      <c r="E183" s="74"/>
      <c r="F183" s="74"/>
      <c r="G183" s="74"/>
      <c r="H183" s="74"/>
      <c r="I183" s="74"/>
      <c r="J183" s="74"/>
      <c r="K183" s="192"/>
      <c r="L183" s="192"/>
      <c r="M183" s="75"/>
      <c r="N183" s="2"/>
      <c r="O183" s="2"/>
      <c r="P183" s="2"/>
      <c r="Q183" s="2"/>
      <c r="R183" s="2"/>
    </row>
    <row r="184" spans="1:18" x14ac:dyDescent="0.2">
      <c r="A184" s="2"/>
      <c r="B184" s="2"/>
      <c r="C184" s="74"/>
      <c r="D184" s="74"/>
      <c r="E184" s="74"/>
      <c r="F184" s="74"/>
      <c r="G184" s="74"/>
      <c r="H184" s="74"/>
      <c r="I184" s="74"/>
      <c r="J184" s="74"/>
      <c r="K184" s="192"/>
      <c r="L184" s="192"/>
      <c r="M184" s="75"/>
      <c r="N184" s="2"/>
      <c r="O184" s="2"/>
      <c r="P184" s="2"/>
      <c r="Q184" s="2"/>
      <c r="R184" s="2"/>
    </row>
    <row r="185" spans="1:18" x14ac:dyDescent="0.2">
      <c r="A185" s="2"/>
      <c r="B185" s="2"/>
      <c r="C185" s="74"/>
      <c r="D185" s="74"/>
      <c r="E185" s="74"/>
      <c r="F185" s="74"/>
      <c r="G185" s="74"/>
      <c r="H185" s="74"/>
      <c r="I185" s="74"/>
      <c r="J185" s="74"/>
      <c r="K185" s="192"/>
      <c r="L185" s="192"/>
      <c r="M185" s="75"/>
      <c r="N185" s="2"/>
      <c r="O185" s="2"/>
      <c r="P185" s="2"/>
      <c r="Q185" s="2"/>
      <c r="R185" s="2"/>
    </row>
    <row r="186" spans="1:18" x14ac:dyDescent="0.2">
      <c r="A186" s="2"/>
      <c r="B186" s="2"/>
      <c r="C186" s="74"/>
      <c r="D186" s="74"/>
      <c r="E186" s="74"/>
      <c r="F186" s="74"/>
      <c r="G186" s="74"/>
      <c r="H186" s="74"/>
      <c r="I186" s="74"/>
      <c r="J186" s="74"/>
      <c r="K186" s="192"/>
      <c r="L186" s="192"/>
      <c r="M186" s="75"/>
      <c r="N186" s="2"/>
      <c r="O186" s="2"/>
      <c r="P186" s="2"/>
      <c r="Q186" s="2"/>
      <c r="R186" s="2"/>
    </row>
    <row r="187" spans="1:18" x14ac:dyDescent="0.2">
      <c r="A187" s="2"/>
      <c r="B187" s="2"/>
      <c r="C187" s="74"/>
      <c r="D187" s="74"/>
      <c r="E187" s="74"/>
      <c r="F187" s="74"/>
      <c r="G187" s="74"/>
      <c r="H187" s="74"/>
      <c r="I187" s="74"/>
      <c r="J187" s="74"/>
      <c r="K187" s="192"/>
      <c r="L187" s="192"/>
      <c r="M187" s="75"/>
      <c r="N187" s="2"/>
      <c r="O187" s="2"/>
      <c r="P187" s="2"/>
      <c r="Q187" s="2"/>
      <c r="R187" s="2"/>
    </row>
    <row r="188" spans="1:18" x14ac:dyDescent="0.2">
      <c r="A188" s="2"/>
      <c r="B188" s="2"/>
      <c r="C188" s="74"/>
      <c r="D188" s="74"/>
      <c r="E188" s="74"/>
      <c r="F188" s="74"/>
      <c r="G188" s="74"/>
      <c r="H188" s="74"/>
      <c r="I188" s="74"/>
      <c r="J188" s="74"/>
      <c r="K188" s="192"/>
      <c r="L188" s="192"/>
      <c r="M188" s="75"/>
      <c r="N188" s="2"/>
      <c r="O188" s="2"/>
      <c r="P188" s="2"/>
      <c r="Q188" s="2"/>
      <c r="R188" s="2"/>
    </row>
    <row r="189" spans="1:18" x14ac:dyDescent="0.2">
      <c r="A189" s="2"/>
      <c r="B189" s="2"/>
      <c r="C189" s="74"/>
      <c r="D189" s="74"/>
      <c r="E189" s="74"/>
      <c r="F189" s="74"/>
      <c r="G189" s="74"/>
      <c r="H189" s="74"/>
      <c r="I189" s="74"/>
      <c r="J189" s="74"/>
      <c r="K189" s="192"/>
      <c r="L189" s="192"/>
      <c r="M189" s="75"/>
      <c r="N189" s="2"/>
      <c r="O189" s="2"/>
      <c r="P189" s="2"/>
      <c r="Q189" s="2"/>
      <c r="R189" s="2"/>
    </row>
    <row r="190" spans="1:18" x14ac:dyDescent="0.2">
      <c r="A190" s="2"/>
      <c r="B190" s="2"/>
      <c r="C190" s="74"/>
      <c r="D190" s="74"/>
      <c r="E190" s="74"/>
      <c r="F190" s="74"/>
      <c r="G190" s="74"/>
      <c r="H190" s="74"/>
      <c r="I190" s="74"/>
      <c r="J190" s="74"/>
      <c r="K190" s="192"/>
      <c r="L190" s="192"/>
      <c r="M190" s="75"/>
      <c r="N190" s="2"/>
      <c r="O190" s="2"/>
      <c r="P190" s="2"/>
      <c r="Q190" s="2"/>
      <c r="R190" s="2"/>
    </row>
    <row r="191" spans="1:18" x14ac:dyDescent="0.2">
      <c r="A191" s="2"/>
      <c r="B191" s="2"/>
      <c r="C191" s="74"/>
      <c r="D191" s="74"/>
      <c r="E191" s="74"/>
      <c r="F191" s="74"/>
      <c r="G191" s="74"/>
      <c r="H191" s="74"/>
      <c r="I191" s="74"/>
      <c r="J191" s="74"/>
      <c r="K191" s="192"/>
      <c r="L191" s="192"/>
      <c r="M191" s="75"/>
      <c r="N191" s="2"/>
      <c r="O191" s="2"/>
      <c r="P191" s="2"/>
      <c r="Q191" s="2"/>
      <c r="R191" s="2"/>
    </row>
    <row r="192" spans="1:18" x14ac:dyDescent="0.2">
      <c r="A192" s="2"/>
      <c r="B192" s="2"/>
      <c r="C192" s="74"/>
      <c r="D192" s="74"/>
      <c r="E192" s="74"/>
      <c r="F192" s="74"/>
      <c r="G192" s="74"/>
      <c r="H192" s="74"/>
      <c r="I192" s="74"/>
      <c r="J192" s="74"/>
      <c r="K192" s="192"/>
      <c r="L192" s="192"/>
      <c r="M192" s="75"/>
      <c r="N192" s="2"/>
      <c r="O192" s="2"/>
      <c r="P192" s="2"/>
      <c r="Q192" s="2"/>
      <c r="R192" s="2"/>
    </row>
    <row r="193" spans="1:18" x14ac:dyDescent="0.2">
      <c r="A193" s="2"/>
      <c r="B193" s="2"/>
      <c r="C193" s="74"/>
      <c r="D193" s="74"/>
      <c r="E193" s="74"/>
      <c r="F193" s="74"/>
      <c r="G193" s="74"/>
      <c r="H193" s="74"/>
      <c r="I193" s="74"/>
      <c r="J193" s="74"/>
      <c r="K193" s="192"/>
      <c r="L193" s="192"/>
      <c r="M193" s="75"/>
      <c r="N193" s="2"/>
      <c r="O193" s="2"/>
      <c r="P193" s="2"/>
      <c r="Q193" s="2"/>
      <c r="R193" s="2"/>
    </row>
    <row r="194" spans="1:18" x14ac:dyDescent="0.2">
      <c r="A194" s="2"/>
      <c r="B194" s="2"/>
      <c r="C194" s="74"/>
      <c r="D194" s="74"/>
      <c r="E194" s="74"/>
      <c r="F194" s="74"/>
      <c r="G194" s="74"/>
      <c r="H194" s="74"/>
      <c r="I194" s="74"/>
      <c r="J194" s="74"/>
      <c r="K194" s="192"/>
      <c r="L194" s="192"/>
      <c r="M194" s="75"/>
      <c r="N194" s="2"/>
      <c r="O194" s="2"/>
      <c r="P194" s="2"/>
      <c r="Q194" s="2"/>
      <c r="R194" s="2"/>
    </row>
    <row r="195" spans="1:18" x14ac:dyDescent="0.2">
      <c r="A195" s="2"/>
      <c r="B195" s="2"/>
      <c r="C195" s="74"/>
      <c r="D195" s="74"/>
      <c r="E195" s="74"/>
      <c r="F195" s="74"/>
      <c r="G195" s="74"/>
      <c r="H195" s="74"/>
      <c r="I195" s="74"/>
      <c r="J195" s="74"/>
      <c r="K195" s="192"/>
      <c r="L195" s="192"/>
      <c r="M195" s="75"/>
      <c r="N195" s="2"/>
      <c r="O195" s="2"/>
      <c r="P195" s="2"/>
      <c r="Q195" s="2"/>
      <c r="R195" s="2"/>
    </row>
    <row r="196" spans="1:18" x14ac:dyDescent="0.2">
      <c r="A196" s="2"/>
      <c r="B196" s="2"/>
      <c r="C196" s="74"/>
      <c r="D196" s="74"/>
      <c r="E196" s="74"/>
      <c r="F196" s="74"/>
      <c r="G196" s="74"/>
      <c r="H196" s="74"/>
      <c r="I196" s="74"/>
      <c r="J196" s="74"/>
      <c r="K196" s="192"/>
      <c r="L196" s="192"/>
      <c r="M196" s="75"/>
      <c r="N196" s="2"/>
      <c r="O196" s="2"/>
      <c r="P196" s="2"/>
      <c r="Q196" s="2"/>
      <c r="R196" s="2"/>
    </row>
    <row r="197" spans="1:18" x14ac:dyDescent="0.2">
      <c r="A197" s="2"/>
      <c r="B197" s="2"/>
      <c r="C197" s="74"/>
      <c r="D197" s="74"/>
      <c r="E197" s="74"/>
      <c r="F197" s="74"/>
      <c r="G197" s="74"/>
      <c r="H197" s="74"/>
      <c r="I197" s="74"/>
      <c r="J197" s="74"/>
      <c r="K197" s="192"/>
      <c r="L197" s="192"/>
      <c r="M197" s="75"/>
      <c r="N197" s="2"/>
      <c r="O197" s="2"/>
      <c r="P197" s="2"/>
      <c r="Q197" s="2"/>
      <c r="R197" s="2"/>
    </row>
    <row r="198" spans="1:18" x14ac:dyDescent="0.2">
      <c r="A198" s="2"/>
      <c r="B198" s="2"/>
      <c r="C198" s="74"/>
      <c r="D198" s="74"/>
      <c r="E198" s="74"/>
      <c r="F198" s="74"/>
      <c r="G198" s="74"/>
      <c r="H198" s="74"/>
      <c r="I198" s="74"/>
      <c r="J198" s="74"/>
      <c r="K198" s="192"/>
      <c r="L198" s="192"/>
      <c r="M198" s="75"/>
      <c r="N198" s="2"/>
      <c r="O198" s="2"/>
      <c r="P198" s="2"/>
      <c r="Q198" s="2"/>
      <c r="R198" s="2"/>
    </row>
    <row r="199" spans="1:18" x14ac:dyDescent="0.2">
      <c r="A199" s="2"/>
      <c r="B199" s="2"/>
      <c r="C199" s="74"/>
      <c r="D199" s="74"/>
      <c r="E199" s="74"/>
      <c r="F199" s="74"/>
      <c r="G199" s="74"/>
      <c r="H199" s="74"/>
      <c r="I199" s="74"/>
      <c r="J199" s="74"/>
      <c r="K199" s="192"/>
      <c r="L199" s="192"/>
      <c r="M199" s="75"/>
      <c r="N199" s="2"/>
      <c r="O199" s="2"/>
      <c r="P199" s="2"/>
      <c r="Q199" s="2"/>
      <c r="R199" s="2"/>
    </row>
    <row r="200" spans="1:18" x14ac:dyDescent="0.2">
      <c r="A200" s="2"/>
      <c r="B200" s="2"/>
      <c r="C200" s="74"/>
      <c r="D200" s="74"/>
      <c r="E200" s="74"/>
      <c r="F200" s="74"/>
      <c r="G200" s="74"/>
      <c r="H200" s="74"/>
      <c r="I200" s="74"/>
      <c r="J200" s="74"/>
      <c r="K200" s="192"/>
      <c r="L200" s="192"/>
      <c r="M200" s="75"/>
      <c r="N200" s="2"/>
      <c r="O200" s="2"/>
      <c r="P200" s="2"/>
      <c r="Q200" s="2"/>
      <c r="R200" s="2"/>
    </row>
    <row r="201" spans="1:18" x14ac:dyDescent="0.2">
      <c r="A201" s="2"/>
      <c r="B201" s="2"/>
      <c r="C201" s="74"/>
      <c r="D201" s="74"/>
      <c r="E201" s="74"/>
      <c r="F201" s="74"/>
      <c r="G201" s="74"/>
      <c r="H201" s="74"/>
      <c r="I201" s="74"/>
      <c r="J201" s="74"/>
      <c r="K201" s="192"/>
      <c r="L201" s="192"/>
      <c r="M201" s="75"/>
      <c r="N201" s="2"/>
      <c r="O201" s="2"/>
      <c r="P201" s="2"/>
      <c r="Q201" s="2"/>
      <c r="R201" s="2"/>
    </row>
    <row r="202" spans="1:18" x14ac:dyDescent="0.2">
      <c r="A202" s="2"/>
      <c r="B202" s="2"/>
      <c r="C202" s="74"/>
      <c r="D202" s="74"/>
      <c r="E202" s="74"/>
      <c r="F202" s="74"/>
      <c r="G202" s="74"/>
      <c r="H202" s="74"/>
      <c r="I202" s="74"/>
      <c r="J202" s="74"/>
      <c r="K202" s="192"/>
      <c r="L202" s="192"/>
      <c r="M202" s="75"/>
      <c r="N202" s="2"/>
      <c r="O202" s="2"/>
      <c r="P202" s="2"/>
      <c r="Q202" s="2"/>
      <c r="R202" s="2"/>
    </row>
    <row r="203" spans="1:18" x14ac:dyDescent="0.2">
      <c r="A203" s="2"/>
      <c r="B203" s="2"/>
      <c r="C203" s="74"/>
      <c r="D203" s="74"/>
      <c r="E203" s="74"/>
      <c r="F203" s="74"/>
      <c r="G203" s="74"/>
      <c r="H203" s="74"/>
      <c r="I203" s="74"/>
      <c r="J203" s="74"/>
      <c r="K203" s="192"/>
      <c r="L203" s="192"/>
      <c r="M203" s="75"/>
      <c r="N203" s="2"/>
      <c r="O203" s="2"/>
      <c r="P203" s="2"/>
      <c r="Q203" s="2"/>
      <c r="R203" s="2"/>
    </row>
    <row r="204" spans="1:18" x14ac:dyDescent="0.2">
      <c r="A204" s="2"/>
      <c r="B204" s="2"/>
      <c r="C204" s="74"/>
      <c r="D204" s="74"/>
      <c r="E204" s="74"/>
      <c r="F204" s="74"/>
      <c r="G204" s="74"/>
      <c r="H204" s="74"/>
      <c r="I204" s="74"/>
      <c r="J204" s="74"/>
      <c r="K204" s="192"/>
      <c r="L204" s="192"/>
      <c r="M204" s="75"/>
      <c r="N204" s="2"/>
      <c r="O204" s="2"/>
      <c r="P204" s="2"/>
      <c r="Q204" s="2"/>
      <c r="R204" s="2"/>
    </row>
    <row r="205" spans="1:18" x14ac:dyDescent="0.2">
      <c r="A205" s="2"/>
      <c r="B205" s="2"/>
      <c r="C205" s="74"/>
      <c r="D205" s="74"/>
      <c r="E205" s="74"/>
      <c r="F205" s="74"/>
      <c r="G205" s="74"/>
      <c r="H205" s="74"/>
      <c r="I205" s="74"/>
      <c r="J205" s="74"/>
      <c r="K205" s="192"/>
      <c r="L205" s="192"/>
      <c r="M205" s="75"/>
      <c r="N205" s="2"/>
      <c r="O205" s="2"/>
      <c r="P205" s="2"/>
      <c r="Q205" s="2"/>
      <c r="R205" s="2"/>
    </row>
    <row r="206" spans="1:18" x14ac:dyDescent="0.2">
      <c r="A206" s="2"/>
      <c r="B206" s="2"/>
      <c r="C206" s="74"/>
      <c r="D206" s="74"/>
      <c r="E206" s="74"/>
      <c r="F206" s="74"/>
      <c r="G206" s="74"/>
      <c r="H206" s="74"/>
      <c r="I206" s="74"/>
      <c r="J206" s="74"/>
      <c r="K206" s="192"/>
      <c r="L206" s="192"/>
      <c r="M206" s="75"/>
      <c r="N206" s="2"/>
      <c r="O206" s="2"/>
      <c r="P206" s="2"/>
      <c r="Q206" s="2"/>
      <c r="R206" s="2"/>
    </row>
    <row r="207" spans="1:18" x14ac:dyDescent="0.2">
      <c r="A207" s="2"/>
      <c r="B207" s="2"/>
      <c r="C207" s="74"/>
      <c r="D207" s="74"/>
      <c r="E207" s="74"/>
      <c r="F207" s="74"/>
      <c r="G207" s="74"/>
      <c r="H207" s="74"/>
      <c r="I207" s="74"/>
      <c r="J207" s="74"/>
      <c r="K207" s="192"/>
      <c r="L207" s="192"/>
      <c r="M207" s="75"/>
      <c r="N207" s="2"/>
      <c r="O207" s="2"/>
      <c r="P207" s="2"/>
      <c r="Q207" s="2"/>
      <c r="R207" s="2"/>
    </row>
    <row r="208" spans="1:18" x14ac:dyDescent="0.2">
      <c r="A208" s="2"/>
      <c r="B208" s="2"/>
      <c r="C208" s="74"/>
      <c r="D208" s="74"/>
      <c r="E208" s="74"/>
      <c r="F208" s="74"/>
      <c r="G208" s="74"/>
      <c r="H208" s="74"/>
      <c r="I208" s="74"/>
      <c r="J208" s="74"/>
      <c r="K208" s="192"/>
      <c r="L208" s="192"/>
      <c r="M208" s="75"/>
      <c r="N208" s="2"/>
      <c r="O208" s="2"/>
      <c r="P208" s="2"/>
      <c r="Q208" s="2"/>
      <c r="R208" s="2"/>
    </row>
    <row r="209" spans="1:18" x14ac:dyDescent="0.2">
      <c r="A209" s="2"/>
      <c r="B209" s="2"/>
      <c r="C209" s="74"/>
      <c r="D209" s="74"/>
      <c r="E209" s="74"/>
      <c r="F209" s="74"/>
      <c r="G209" s="74"/>
      <c r="H209" s="74"/>
      <c r="I209" s="74"/>
      <c r="J209" s="74"/>
      <c r="K209" s="192"/>
      <c r="L209" s="192"/>
      <c r="M209" s="75"/>
      <c r="N209" s="2"/>
      <c r="O209" s="2"/>
      <c r="P209" s="2"/>
      <c r="Q209" s="2"/>
      <c r="R209" s="2"/>
    </row>
    <row r="210" spans="1:18" x14ac:dyDescent="0.2">
      <c r="A210" s="2"/>
      <c r="B210" s="2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2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2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2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2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2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2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2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2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2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5"/>
      <c r="N219" s="2"/>
      <c r="O219" s="2"/>
      <c r="P219" s="2"/>
      <c r="Q219" s="2"/>
      <c r="R219" s="2"/>
    </row>
    <row r="220" spans="1:18" x14ac:dyDescent="0.2">
      <c r="A220" s="2"/>
      <c r="B220" s="2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5"/>
      <c r="N220" s="2"/>
      <c r="O220" s="2"/>
      <c r="P220" s="2"/>
      <c r="Q220" s="2"/>
      <c r="R220" s="2"/>
    </row>
    <row r="221" spans="1:18" x14ac:dyDescent="0.2">
      <c r="A221" s="2"/>
      <c r="B221" s="2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5"/>
      <c r="N221" s="2"/>
      <c r="O221" s="2"/>
      <c r="P221" s="2"/>
      <c r="Q221" s="2"/>
      <c r="R221" s="2"/>
    </row>
    <row r="222" spans="1:18" x14ac:dyDescent="0.2">
      <c r="A222" s="2"/>
      <c r="B222" s="2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2"/>
      <c r="L223" s="192"/>
      <c r="M223" s="75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2"/>
      <c r="L225" s="192"/>
      <c r="M225" s="75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2"/>
      <c r="L238" s="192"/>
      <c r="M238" s="75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2"/>
      <c r="L241" s="192"/>
      <c r="M241" s="75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2"/>
      <c r="L242" s="192"/>
      <c r="M242" s="75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2"/>
      <c r="L243" s="192"/>
      <c r="M243" s="75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2"/>
      <c r="L256" s="192"/>
      <c r="M256" s="75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2"/>
      <c r="L259" s="192"/>
      <c r="M259" s="75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2"/>
      <c r="L265" s="192"/>
      <c r="M265" s="75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2"/>
      <c r="L268" s="192"/>
      <c r="M268" s="75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2"/>
      <c r="L348" s="192"/>
      <c r="M348" s="75"/>
      <c r="N348" s="2"/>
      <c r="O348" s="2"/>
      <c r="P348" s="2"/>
      <c r="Q348" s="2"/>
      <c r="R348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26.21875" style="80" customWidth="1"/>
    <col min="5" max="6" width="13.6640625" style="80" customWidth="1"/>
    <col min="7" max="7" width="16" style="80" customWidth="1"/>
    <col min="8" max="8" width="12.44140625" style="80" customWidth="1"/>
    <col min="9" max="9" width="15.8867187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10.109375" style="80" customWidth="1"/>
    <col min="15" max="15" width="13.4414062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21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74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22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23</v>
      </c>
      <c r="P6" s="83"/>
    </row>
    <row r="7" spans="1:16" ht="15.75" x14ac:dyDescent="0.25">
      <c r="A7" s="105" t="s">
        <v>24</v>
      </c>
      <c r="B7" s="84" t="s">
        <v>13</v>
      </c>
      <c r="C7" s="84" t="s">
        <v>15</v>
      </c>
      <c r="D7" s="84" t="s">
        <v>62</v>
      </c>
      <c r="E7" s="275" t="s">
        <v>55</v>
      </c>
      <c r="F7" s="84" t="s">
        <v>60</v>
      </c>
      <c r="G7" s="84" t="s">
        <v>63</v>
      </c>
      <c r="H7" s="84" t="s">
        <v>68</v>
      </c>
      <c r="I7" s="84" t="s">
        <v>70</v>
      </c>
      <c r="J7" s="84" t="s">
        <v>25</v>
      </c>
      <c r="K7" s="84" t="s">
        <v>52</v>
      </c>
      <c r="L7" s="84" t="s">
        <v>50</v>
      </c>
      <c r="M7" s="84" t="s">
        <v>17</v>
      </c>
      <c r="N7" s="84" t="s">
        <v>51</v>
      </c>
      <c r="O7" s="84" t="s">
        <v>26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DATE(2023,7,1)</f>
        <v>45108</v>
      </c>
      <c r="B10" s="89">
        <f>'MONTHLY STATS'!$C$9*2</f>
        <v>397942</v>
      </c>
      <c r="C10" s="89">
        <f>'MONTHLY STATS'!$C$14*2</f>
        <v>229528</v>
      </c>
      <c r="D10" s="89">
        <f>'MONTHLY STATS'!$C$19*2</f>
        <v>124414</v>
      </c>
      <c r="E10" s="89">
        <f>'MONTHLY STATS'!$C$24*2</f>
        <v>708940</v>
      </c>
      <c r="F10" s="89">
        <f>'MONTHLY STATS'!$C$29*2</f>
        <v>399396</v>
      </c>
      <c r="G10" s="89">
        <f>'MONTHLY STATS'!$C$34*2</f>
        <v>188900</v>
      </c>
      <c r="H10" s="89">
        <f>'MONTHLY STATS'!$C$39*2</f>
        <v>438240</v>
      </c>
      <c r="I10" s="89">
        <f>'MONTHLY STATS'!$C$44*2</f>
        <v>455910</v>
      </c>
      <c r="J10" s="89">
        <f>'MONTHLY STATS'!$C$49*2</f>
        <v>524176</v>
      </c>
      <c r="K10" s="89">
        <f>'MONTHLY STATS'!$C$54*2</f>
        <v>745328</v>
      </c>
      <c r="L10" s="89">
        <f>'MONTHLY STATS'!$C$59*2</f>
        <v>86244</v>
      </c>
      <c r="M10" s="89">
        <f>'MONTHLY STATS'!$C$64*2</f>
        <v>682716</v>
      </c>
      <c r="N10" s="89">
        <f>'MONTHLY STATS'!$C$69*2</f>
        <v>132646</v>
      </c>
      <c r="O10" s="90">
        <f>SUM(B10:N10)</f>
        <v>5114380</v>
      </c>
      <c r="P10" s="83"/>
    </row>
    <row r="11" spans="1:16" ht="15.75" x14ac:dyDescent="0.25">
      <c r="A11" s="88">
        <f>DATE(2023,8,1)</f>
        <v>45139</v>
      </c>
      <c r="B11" s="89">
        <f>'MONTHLY STATS'!$C$10*2</f>
        <v>371172</v>
      </c>
      <c r="C11" s="89">
        <f>'MONTHLY STATS'!$C$15*2</f>
        <v>206972</v>
      </c>
      <c r="D11" s="89">
        <f>'MONTHLY STATS'!$C$20*2</f>
        <v>111582</v>
      </c>
      <c r="E11" s="89">
        <f>'MONTHLY STATS'!$C$25*2</f>
        <v>662892</v>
      </c>
      <c r="F11" s="89">
        <f>'MONTHLY STATS'!$C$30*2</f>
        <v>371724</v>
      </c>
      <c r="G11" s="89">
        <f>'MONTHLY STATS'!$C$35*2</f>
        <v>171280</v>
      </c>
      <c r="H11" s="89">
        <f>'MONTHLY STATS'!$C$40*2</f>
        <v>436176</v>
      </c>
      <c r="I11" s="89">
        <f>'MONTHLY STATS'!$C$45*2</f>
        <v>427814</v>
      </c>
      <c r="J11" s="89">
        <f>'MONTHLY STATS'!$C$50*2</f>
        <v>478446</v>
      </c>
      <c r="K11" s="89">
        <f>'MONTHLY STATS'!$C$55*2</f>
        <v>685290</v>
      </c>
      <c r="L11" s="89">
        <f>'MONTHLY STATS'!$C$60*2</f>
        <v>77588</v>
      </c>
      <c r="M11" s="89">
        <f>'MONTHLY STATS'!$C$65*2</f>
        <v>652506</v>
      </c>
      <c r="N11" s="89">
        <f>'MONTHLY STATS'!$C$70*2</f>
        <v>127788</v>
      </c>
      <c r="O11" s="90">
        <f>SUM(B11:N11)</f>
        <v>4781230</v>
      </c>
      <c r="P11" s="83"/>
    </row>
    <row r="12" spans="1:16" ht="15.75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3"/>
    </row>
    <row r="13" spans="1:16" ht="15.75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P13" s="83"/>
    </row>
    <row r="14" spans="1:16" ht="15.75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  <c r="P14" s="83"/>
    </row>
    <row r="15" spans="1:16" ht="15.75" x14ac:dyDescent="0.2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  <c r="P15" s="83"/>
    </row>
    <row r="16" spans="1:16" ht="15.75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0"/>
      <c r="P16" s="83"/>
    </row>
    <row r="17" spans="1:16" ht="15.75" x14ac:dyDescent="0.2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83"/>
    </row>
    <row r="18" spans="1:16" ht="15.75" x14ac:dyDescent="0.25">
      <c r="A18" s="8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0"/>
      <c r="P18" s="83"/>
    </row>
    <row r="19" spans="1:16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0"/>
      <c r="P19" s="83"/>
    </row>
    <row r="20" spans="1:16" ht="15.75" x14ac:dyDescent="0.2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0"/>
      <c r="P20" s="83"/>
    </row>
    <row r="21" spans="1:16" ht="15.75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0"/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27</v>
      </c>
      <c r="B23" s="90">
        <f t="shared" ref="B23:O23" si="0">SUM(B10:B21)</f>
        <v>769114</v>
      </c>
      <c r="C23" s="90">
        <f t="shared" si="0"/>
        <v>436500</v>
      </c>
      <c r="D23" s="90">
        <f t="shared" si="0"/>
        <v>235996</v>
      </c>
      <c r="E23" s="90">
        <f t="shared" si="0"/>
        <v>1371832</v>
      </c>
      <c r="F23" s="90">
        <f t="shared" si="0"/>
        <v>771120</v>
      </c>
      <c r="G23" s="90">
        <f>SUM(G10:G21)</f>
        <v>360180</v>
      </c>
      <c r="H23" s="90">
        <f t="shared" si="0"/>
        <v>874416</v>
      </c>
      <c r="I23" s="90">
        <f>SUM(I10:I21)</f>
        <v>883724</v>
      </c>
      <c r="J23" s="90">
        <f t="shared" si="0"/>
        <v>1002622</v>
      </c>
      <c r="K23" s="90">
        <f>SUM(K10:K21)</f>
        <v>1430618</v>
      </c>
      <c r="L23" s="90">
        <f t="shared" si="0"/>
        <v>163832</v>
      </c>
      <c r="M23" s="90">
        <f t="shared" si="0"/>
        <v>1335222</v>
      </c>
      <c r="N23" s="90">
        <f t="shared" si="0"/>
        <v>260434</v>
      </c>
      <c r="O23" s="90">
        <f t="shared" si="0"/>
        <v>9895610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28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23</v>
      </c>
      <c r="P27" s="83"/>
    </row>
    <row r="28" spans="1:16" ht="15.75" x14ac:dyDescent="0.25">
      <c r="A28" s="105" t="s">
        <v>24</v>
      </c>
      <c r="B28" s="84" t="s">
        <v>13</v>
      </c>
      <c r="C28" s="84" t="s">
        <v>15</v>
      </c>
      <c r="D28" s="84" t="s">
        <v>62</v>
      </c>
      <c r="E28" s="275" t="s">
        <v>55</v>
      </c>
      <c r="F28" s="84" t="s">
        <v>60</v>
      </c>
      <c r="G28" s="84" t="s">
        <v>63</v>
      </c>
      <c r="H28" s="84" t="s">
        <v>68</v>
      </c>
      <c r="I28" s="84" t="s">
        <v>70</v>
      </c>
      <c r="J28" s="84" t="s">
        <v>25</v>
      </c>
      <c r="K28" s="106" t="s">
        <v>52</v>
      </c>
      <c r="L28" s="106" t="s">
        <v>50</v>
      </c>
      <c r="M28" s="106" t="s">
        <v>17</v>
      </c>
      <c r="N28" s="106" t="s">
        <v>51</v>
      </c>
      <c r="O28" s="106" t="s">
        <v>26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DATE(2023,7,1)</f>
        <v>45108</v>
      </c>
      <c r="B31" s="89">
        <f>'MONTHLY STATS'!$K$9*0.21</f>
        <v>3146216.0687999995</v>
      </c>
      <c r="C31" s="89">
        <f>'MONTHLY STATS'!$K$14*0.21</f>
        <v>1722035.5466999998</v>
      </c>
      <c r="D31" s="89">
        <f>'MONTHLY STATS'!$K$19*0.21</f>
        <v>817934.35290000006</v>
      </c>
      <c r="E31" s="89">
        <f>'MONTHLY STATS'!$K$24*0.21</f>
        <v>4674596.7617999995</v>
      </c>
      <c r="F31" s="89">
        <f>'MONTHLY STATS'!$K$29*0.21</f>
        <v>3228902.0589000001</v>
      </c>
      <c r="G31" s="89">
        <f>'MONTHLY STATS'!$K$34*0.21</f>
        <v>1319580.5342999999</v>
      </c>
      <c r="H31" s="89">
        <f>'MONTHLY STATS'!$K$39*0.21</f>
        <v>2268943.7148000002</v>
      </c>
      <c r="I31" s="89">
        <f>'MONTHLY STATS'!$K$44*0.21</f>
        <v>2947257.6987000001</v>
      </c>
      <c r="J31" s="89">
        <f>'MONTHLY STATS'!$K$49*0.21</f>
        <v>3704387.8221</v>
      </c>
      <c r="K31" s="89">
        <f>'MONTHLY STATS'!$K$54*0.21</f>
        <v>4669398.8481000001</v>
      </c>
      <c r="L31" s="89">
        <f>'MONTHLY STATS'!$K$59*0.21</f>
        <v>667459.5858</v>
      </c>
      <c r="M31" s="89">
        <f>'MONTHLY STATS'!$K$64*0.21</f>
        <v>5390821.3358999994</v>
      </c>
      <c r="N31" s="89">
        <f>'MONTHLY STATS'!$K$69*0.21</f>
        <v>821402.96069999994</v>
      </c>
      <c r="O31" s="90">
        <f>SUM(B31:N31)</f>
        <v>35378937.289499991</v>
      </c>
      <c r="P31" s="83"/>
    </row>
    <row r="32" spans="1:16" ht="15.75" x14ac:dyDescent="0.25">
      <c r="A32" s="88">
        <f>DATE(2023,8,1)</f>
        <v>45139</v>
      </c>
      <c r="B32" s="89">
        <f>'MONTHLY STATS'!$K$10*0.21</f>
        <v>2966696.7791999998</v>
      </c>
      <c r="C32" s="89">
        <f>'MONTHLY STATS'!$K$15*0.21</f>
        <v>1575505.4889</v>
      </c>
      <c r="D32" s="89">
        <f>'MONTHLY STATS'!$K$20*0.21</f>
        <v>789048.26909999992</v>
      </c>
      <c r="E32" s="89">
        <f>'MONTHLY STATS'!$K$25*0.21</f>
        <v>4190646.3227999997</v>
      </c>
      <c r="F32" s="89">
        <f>'MONTHLY STATS'!$K$30*0.21</f>
        <v>2955351.3128999998</v>
      </c>
      <c r="G32" s="89">
        <f>'MONTHLY STATS'!$K$35*0.21</f>
        <v>1258922.0027999999</v>
      </c>
      <c r="H32" s="89">
        <f>'MONTHLY STATS'!$K$40*0.21</f>
        <v>2283146.9136000001</v>
      </c>
      <c r="I32" s="89">
        <f>'MONTHLY STATS'!$K$45*0.21</f>
        <v>2743960.2875999999</v>
      </c>
      <c r="J32" s="89">
        <f>'MONTHLY STATS'!$K$50*0.21</f>
        <v>3431613.2823000001</v>
      </c>
      <c r="K32" s="89">
        <f>'MONTHLY STATS'!$K$55*0.21</f>
        <v>4328763.0539999995</v>
      </c>
      <c r="L32" s="89">
        <f>'MONTHLY STATS'!$K$60*0.21</f>
        <v>603333.93329999992</v>
      </c>
      <c r="M32" s="89">
        <f>'MONTHLY STATS'!$K$65*0.21</f>
        <v>4902681.9807000002</v>
      </c>
      <c r="N32" s="89">
        <f>'MONTHLY STATS'!$K$70*0.21</f>
        <v>811071.1287</v>
      </c>
      <c r="O32" s="90">
        <f>SUM(B32:N32)</f>
        <v>32840740.755899996</v>
      </c>
      <c r="P32" s="83"/>
    </row>
    <row r="33" spans="1:16" ht="15.75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0"/>
      <c r="P33" s="83"/>
    </row>
    <row r="34" spans="1:16" ht="15.75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83"/>
    </row>
    <row r="35" spans="1:16" ht="15.75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83"/>
    </row>
    <row r="36" spans="1:16" ht="15.75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90"/>
      <c r="P36" s="83"/>
    </row>
    <row r="37" spans="1:16" ht="15.75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  <c r="P37" s="83"/>
    </row>
    <row r="38" spans="1:16" ht="15.75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  <c r="P38" s="83"/>
    </row>
    <row r="39" spans="1:16" ht="15.75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0"/>
      <c r="P39" s="83"/>
    </row>
    <row r="40" spans="1:16" ht="15.75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  <c r="P40" s="83"/>
    </row>
    <row r="41" spans="1:16" ht="15.75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0"/>
      <c r="P41" s="83"/>
    </row>
    <row r="42" spans="1:16" ht="15.75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90"/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27</v>
      </c>
      <c r="B44" s="90">
        <f t="shared" ref="B44:O44" si="1">SUM(B31:B42)</f>
        <v>6112912.8479999993</v>
      </c>
      <c r="C44" s="90">
        <f t="shared" si="1"/>
        <v>3297541.0356000001</v>
      </c>
      <c r="D44" s="90">
        <f t="shared" si="1"/>
        <v>1606982.622</v>
      </c>
      <c r="E44" s="90">
        <f t="shared" si="1"/>
        <v>8865243.0845999997</v>
      </c>
      <c r="F44" s="90">
        <f t="shared" si="1"/>
        <v>6184253.3717999998</v>
      </c>
      <c r="G44" s="90">
        <f t="shared" si="1"/>
        <v>2578502.5370999998</v>
      </c>
      <c r="H44" s="90">
        <f t="shared" si="1"/>
        <v>4552090.6283999998</v>
      </c>
      <c r="I44" s="90">
        <f>SUM(I31:I42)</f>
        <v>5691217.9863</v>
      </c>
      <c r="J44" s="90">
        <f t="shared" si="1"/>
        <v>7136001.1043999996</v>
      </c>
      <c r="K44" s="90">
        <f>SUM(K31:K42)</f>
        <v>8998161.9021000005</v>
      </c>
      <c r="L44" s="90">
        <f t="shared" si="1"/>
        <v>1270793.5190999999</v>
      </c>
      <c r="M44" s="90">
        <f t="shared" si="1"/>
        <v>10293503.316599999</v>
      </c>
      <c r="N44" s="90">
        <f t="shared" si="1"/>
        <v>1632474.0893999999</v>
      </c>
      <c r="O44" s="90">
        <f t="shared" si="1"/>
        <v>68219678.045399994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ht="15.75" x14ac:dyDescent="0.25">
      <c r="A48" s="115" t="s">
        <v>29</v>
      </c>
      <c r="B48" s="98"/>
      <c r="C48" s="98"/>
      <c r="D48" s="98"/>
      <c r="E48" s="98"/>
      <c r="F48" s="98"/>
      <c r="G48" s="98"/>
      <c r="H48" s="98"/>
      <c r="I48" s="98"/>
    </row>
    <row r="49" spans="1:9" ht="15.75" x14ac:dyDescent="0.25">
      <c r="A49" s="115"/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30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75</v>
      </c>
      <c r="B3" s="117"/>
      <c r="C3" s="200"/>
      <c r="D3" s="200"/>
      <c r="E3" s="200"/>
      <c r="F3" s="117"/>
      <c r="G3" s="210"/>
    </row>
    <row r="4" spans="1:8" x14ac:dyDescent="0.2">
      <c r="A4" s="284" t="s">
        <v>76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31</v>
      </c>
      <c r="D6" s="201" t="s">
        <v>31</v>
      </c>
      <c r="E6" s="201" t="s">
        <v>3</v>
      </c>
      <c r="F6" s="122"/>
      <c r="G6" s="212" t="s">
        <v>32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33</v>
      </c>
      <c r="D7" s="202" t="s">
        <v>34</v>
      </c>
      <c r="E7" s="202" t="s">
        <v>34</v>
      </c>
      <c r="F7" s="126" t="s">
        <v>8</v>
      </c>
      <c r="G7" s="213" t="s">
        <v>35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36</v>
      </c>
      <c r="B9" s="131">
        <f>DATE(2023,7,1)</f>
        <v>45108</v>
      </c>
      <c r="C9" s="204">
        <v>17140378</v>
      </c>
      <c r="D9" s="204">
        <v>2756909.5</v>
      </c>
      <c r="E9" s="204">
        <v>3018310</v>
      </c>
      <c r="F9" s="132">
        <f>(+D9-E9)/E9</f>
        <v>-8.6604921297017204E-2</v>
      </c>
      <c r="G9" s="215">
        <f>D9/C9</f>
        <v>0.16084298140916145</v>
      </c>
      <c r="H9" s="123"/>
    </row>
    <row r="10" spans="1:8" ht="15.75" x14ac:dyDescent="0.25">
      <c r="A10" s="130"/>
      <c r="B10" s="131">
        <f>DATE(2023,8,1)</f>
        <v>45139</v>
      </c>
      <c r="C10" s="204">
        <v>15153020</v>
      </c>
      <c r="D10" s="204">
        <v>2981923.5</v>
      </c>
      <c r="E10" s="204">
        <v>3237681.85</v>
      </c>
      <c r="F10" s="132">
        <f>(+D10-E10)/E10</f>
        <v>-7.8994281047101669E-2</v>
      </c>
      <c r="G10" s="215">
        <f>D10/C10</f>
        <v>0.19678740607482864</v>
      </c>
      <c r="H10" s="123"/>
    </row>
    <row r="11" spans="1:8" ht="15.75" thickBot="1" x14ac:dyDescent="0.25">
      <c r="A11" s="133"/>
      <c r="B11" s="134"/>
      <c r="C11" s="204"/>
      <c r="D11" s="204"/>
      <c r="E11" s="204"/>
      <c r="F11" s="132"/>
      <c r="G11" s="215"/>
      <c r="H11" s="123"/>
    </row>
    <row r="12" spans="1:8" ht="17.25" thickTop="1" thickBot="1" x14ac:dyDescent="0.3">
      <c r="A12" s="135" t="s">
        <v>14</v>
      </c>
      <c r="B12" s="136"/>
      <c r="C12" s="201">
        <f>SUM(C9:C11)</f>
        <v>32293398</v>
      </c>
      <c r="D12" s="201">
        <f>SUM(D9:D11)</f>
        <v>5738833</v>
      </c>
      <c r="E12" s="201">
        <f>SUM(E9:E11)</f>
        <v>6255991.8499999996</v>
      </c>
      <c r="F12" s="137">
        <f>(+D12-E12)/E12</f>
        <v>-8.2666164278970347E-2</v>
      </c>
      <c r="G12" s="212">
        <f>D12/C12</f>
        <v>0.17770917139162623</v>
      </c>
      <c r="H12" s="123"/>
    </row>
    <row r="13" spans="1:8" ht="15.75" customHeight="1" thickTop="1" x14ac:dyDescent="0.25">
      <c r="A13" s="138"/>
      <c r="B13" s="139"/>
      <c r="C13" s="205"/>
      <c r="D13" s="205"/>
      <c r="E13" s="205"/>
      <c r="F13" s="140"/>
      <c r="G13" s="216"/>
      <c r="H13" s="123"/>
    </row>
    <row r="14" spans="1:8" ht="15.75" x14ac:dyDescent="0.25">
      <c r="A14" s="19" t="s">
        <v>15</v>
      </c>
      <c r="B14" s="131">
        <f>DATE(2023,7,1)</f>
        <v>45108</v>
      </c>
      <c r="C14" s="204">
        <v>2471937</v>
      </c>
      <c r="D14" s="204">
        <v>614728</v>
      </c>
      <c r="E14" s="204">
        <v>637839.5</v>
      </c>
      <c r="F14" s="132">
        <f>(+D14-E14)/E14</f>
        <v>-3.62340369324885E-2</v>
      </c>
      <c r="G14" s="215">
        <f>D14/C14</f>
        <v>0.24868271319212423</v>
      </c>
      <c r="H14" s="123"/>
    </row>
    <row r="15" spans="1:8" ht="15.75" x14ac:dyDescent="0.25">
      <c r="A15" s="19"/>
      <c r="B15" s="131">
        <f>DATE(2023,8,1)</f>
        <v>45139</v>
      </c>
      <c r="C15" s="204">
        <v>2248291</v>
      </c>
      <c r="D15" s="204">
        <v>388628</v>
      </c>
      <c r="E15" s="204">
        <v>695761.5</v>
      </c>
      <c r="F15" s="132">
        <f>(+D15-E15)/E15</f>
        <v>-0.44143503197575606</v>
      </c>
      <c r="G15" s="215">
        <f>D15/C15</f>
        <v>0.17285484841597462</v>
      </c>
      <c r="H15" s="123"/>
    </row>
    <row r="16" spans="1:8" ht="15.75" thickBot="1" x14ac:dyDescent="0.25">
      <c r="A16" s="133"/>
      <c r="B16" s="131"/>
      <c r="C16" s="204"/>
      <c r="D16" s="204"/>
      <c r="E16" s="204"/>
      <c r="F16" s="132"/>
      <c r="G16" s="215"/>
      <c r="H16" s="123"/>
    </row>
    <row r="17" spans="1:8" ht="17.25" thickTop="1" thickBot="1" x14ac:dyDescent="0.3">
      <c r="A17" s="135" t="s">
        <v>14</v>
      </c>
      <c r="B17" s="136"/>
      <c r="C17" s="201">
        <f>SUM(C14:C16)</f>
        <v>4720228</v>
      </c>
      <c r="D17" s="201">
        <f>SUM(D14:D16)</f>
        <v>1003356</v>
      </c>
      <c r="E17" s="201">
        <f>SUM(E14:E16)</f>
        <v>1333601</v>
      </c>
      <c r="F17" s="137">
        <f>(+D17-E17)/E17</f>
        <v>-0.24763403746697851</v>
      </c>
      <c r="G17" s="212">
        <f>D17/C17</f>
        <v>0.212565155750951</v>
      </c>
      <c r="H17" s="123"/>
    </row>
    <row r="18" spans="1:8" ht="15.75" customHeight="1" thickTop="1" x14ac:dyDescent="0.25">
      <c r="A18" s="255"/>
      <c r="B18" s="139"/>
      <c r="C18" s="205"/>
      <c r="D18" s="205"/>
      <c r="E18" s="205"/>
      <c r="F18" s="140"/>
      <c r="G18" s="219"/>
      <c r="H18" s="123"/>
    </row>
    <row r="19" spans="1:8" ht="15.75" x14ac:dyDescent="0.25">
      <c r="A19" s="19" t="s">
        <v>62</v>
      </c>
      <c r="B19" s="131">
        <f>DATE(2023,7,1)</f>
        <v>45108</v>
      </c>
      <c r="C19" s="204">
        <v>1300276</v>
      </c>
      <c r="D19" s="204">
        <v>166322.5</v>
      </c>
      <c r="E19" s="204">
        <v>249087.5</v>
      </c>
      <c r="F19" s="132">
        <f>(+D19-E19)/E19</f>
        <v>-0.33227279570432078</v>
      </c>
      <c r="G19" s="215">
        <f>D19/C19</f>
        <v>0.12791322765320592</v>
      </c>
      <c r="H19" s="123"/>
    </row>
    <row r="20" spans="1:8" ht="15.75" x14ac:dyDescent="0.25">
      <c r="A20" s="19"/>
      <c r="B20" s="131">
        <f>DATE(2023,8,1)</f>
        <v>45139</v>
      </c>
      <c r="C20" s="204">
        <v>1380793</v>
      </c>
      <c r="D20" s="204">
        <v>264487</v>
      </c>
      <c r="E20" s="204">
        <v>272495.5</v>
      </c>
      <c r="F20" s="132">
        <f>(+D20-E20)/E20</f>
        <v>-2.9389476156486988E-2</v>
      </c>
      <c r="G20" s="215">
        <f>D20/C20</f>
        <v>0.19154717615167516</v>
      </c>
      <c r="H20" s="123"/>
    </row>
    <row r="21" spans="1:8" ht="15.75" thickBot="1" x14ac:dyDescent="0.25">
      <c r="A21" s="133"/>
      <c r="B21" s="131"/>
      <c r="C21" s="204"/>
      <c r="D21" s="204"/>
      <c r="E21" s="204"/>
      <c r="F21" s="132"/>
      <c r="G21" s="215"/>
      <c r="H21" s="123"/>
    </row>
    <row r="22" spans="1:8" ht="17.25" thickTop="1" thickBot="1" x14ac:dyDescent="0.3">
      <c r="A22" s="141" t="s">
        <v>14</v>
      </c>
      <c r="B22" s="142"/>
      <c r="C22" s="206">
        <f>SUM(C19:C21)</f>
        <v>2681069</v>
      </c>
      <c r="D22" s="206">
        <f>SUM(D19:D21)</f>
        <v>430809.5</v>
      </c>
      <c r="E22" s="206">
        <f>SUM(E19:E21)</f>
        <v>521583</v>
      </c>
      <c r="F22" s="143">
        <f>(+D22-E22)/E22</f>
        <v>-0.17403462152715868</v>
      </c>
      <c r="G22" s="217">
        <f>D22/C22</f>
        <v>0.16068571901730241</v>
      </c>
      <c r="H22" s="123"/>
    </row>
    <row r="23" spans="1:8" ht="15.75" thickTop="1" x14ac:dyDescent="0.2">
      <c r="A23" s="133"/>
      <c r="B23" s="134"/>
      <c r="C23" s="204"/>
      <c r="D23" s="204"/>
      <c r="E23" s="204"/>
      <c r="F23" s="132"/>
      <c r="G23" s="218"/>
      <c r="H23" s="123"/>
    </row>
    <row r="24" spans="1:8" ht="15.75" x14ac:dyDescent="0.25">
      <c r="A24" s="177" t="s">
        <v>58</v>
      </c>
      <c r="B24" s="131">
        <f>DATE(2023,7,1)</f>
        <v>45108</v>
      </c>
      <c r="C24" s="204">
        <v>17665326</v>
      </c>
      <c r="D24" s="204">
        <v>3803316</v>
      </c>
      <c r="E24" s="204">
        <v>3390213</v>
      </c>
      <c r="F24" s="132">
        <f>(+D24-E24)/E24</f>
        <v>0.12185163587066654</v>
      </c>
      <c r="G24" s="215">
        <f>D24/C24</f>
        <v>0.21529837603902696</v>
      </c>
      <c r="H24" s="123"/>
    </row>
    <row r="25" spans="1:8" ht="15.75" x14ac:dyDescent="0.25">
      <c r="A25" s="177"/>
      <c r="B25" s="131">
        <f>DATE(2023,8,1)</f>
        <v>45139</v>
      </c>
      <c r="C25" s="204">
        <v>17268495</v>
      </c>
      <c r="D25" s="204">
        <v>2558007.38</v>
      </c>
      <c r="E25" s="204">
        <v>2096973.67</v>
      </c>
      <c r="F25" s="132">
        <f>(+D25-E25)/E25</f>
        <v>0.21985669948826778</v>
      </c>
      <c r="G25" s="215">
        <f>D25/C25</f>
        <v>0.14813146021121121</v>
      </c>
      <c r="H25" s="123"/>
    </row>
    <row r="26" spans="1:8" ht="15.75" customHeight="1" thickBot="1" x14ac:dyDescent="0.25">
      <c r="A26" s="133"/>
      <c r="B26" s="134"/>
      <c r="C26" s="204"/>
      <c r="D26" s="204"/>
      <c r="E26" s="204"/>
      <c r="F26" s="132"/>
      <c r="G26" s="215"/>
      <c r="H26" s="123"/>
    </row>
    <row r="27" spans="1:8" ht="17.25" customHeight="1" thickTop="1" thickBot="1" x14ac:dyDescent="0.3">
      <c r="A27" s="141" t="s">
        <v>14</v>
      </c>
      <c r="B27" s="142"/>
      <c r="C27" s="206">
        <f>SUM(C24:C26)</f>
        <v>34933821</v>
      </c>
      <c r="D27" s="206">
        <f>SUM(D24:D26)</f>
        <v>6361323.3799999999</v>
      </c>
      <c r="E27" s="206">
        <f>SUM(E24:E26)</f>
        <v>5487186.6699999999</v>
      </c>
      <c r="F27" s="143">
        <f>(+D27-E27)/E27</f>
        <v>0.159305079737701</v>
      </c>
      <c r="G27" s="217">
        <f>D27/C27</f>
        <v>0.1820964096655788</v>
      </c>
      <c r="H27" s="123"/>
    </row>
    <row r="28" spans="1:8" ht="15.75" customHeight="1" thickTop="1" x14ac:dyDescent="0.2">
      <c r="A28" s="133"/>
      <c r="B28" s="134"/>
      <c r="C28" s="204"/>
      <c r="D28" s="204"/>
      <c r="E28" s="204"/>
      <c r="F28" s="132"/>
      <c r="G28" s="218"/>
      <c r="H28" s="123"/>
    </row>
    <row r="29" spans="1:8" ht="15" customHeight="1" x14ac:dyDescent="0.25">
      <c r="A29" s="130" t="s">
        <v>60</v>
      </c>
      <c r="B29" s="131">
        <f>DATE(2023,7,1)</f>
        <v>45108</v>
      </c>
      <c r="C29" s="204">
        <v>12723732</v>
      </c>
      <c r="D29" s="204">
        <v>3308388.5</v>
      </c>
      <c r="E29" s="204">
        <v>3195567.5</v>
      </c>
      <c r="F29" s="132">
        <f>(+D29-E29)/E29</f>
        <v>3.5305466087009588E-2</v>
      </c>
      <c r="G29" s="215">
        <f>D29/C29</f>
        <v>0.26001714748471594</v>
      </c>
      <c r="H29" s="123"/>
    </row>
    <row r="30" spans="1:8" ht="15" customHeight="1" x14ac:dyDescent="0.25">
      <c r="A30" s="130"/>
      <c r="B30" s="131">
        <f>DATE(2023,8,1)</f>
        <v>45139</v>
      </c>
      <c r="C30" s="204">
        <v>11628258</v>
      </c>
      <c r="D30" s="204">
        <v>3099426.5</v>
      </c>
      <c r="E30" s="204">
        <v>3909171</v>
      </c>
      <c r="F30" s="132">
        <f>(+D30-E30)/E30</f>
        <v>-0.20713969790525918</v>
      </c>
      <c r="G30" s="215">
        <f>D30/C30</f>
        <v>0.26654263261100675</v>
      </c>
      <c r="H30" s="123"/>
    </row>
    <row r="31" spans="1:8" ht="15.75" thickBot="1" x14ac:dyDescent="0.25">
      <c r="A31" s="133"/>
      <c r="B31" s="131"/>
      <c r="C31" s="204"/>
      <c r="D31" s="204"/>
      <c r="E31" s="204"/>
      <c r="F31" s="132"/>
      <c r="G31" s="215"/>
      <c r="H31" s="123"/>
    </row>
    <row r="32" spans="1:8" ht="17.25" customHeight="1" thickTop="1" thickBot="1" x14ac:dyDescent="0.3">
      <c r="A32" s="141" t="s">
        <v>14</v>
      </c>
      <c r="B32" s="142"/>
      <c r="C32" s="207">
        <f>SUM(C29:C31)</f>
        <v>24351990</v>
      </c>
      <c r="D32" s="261">
        <f>SUM(D29:D31)</f>
        <v>6407815</v>
      </c>
      <c r="E32" s="206">
        <f>SUM(E29:E31)</f>
        <v>7104738.5</v>
      </c>
      <c r="F32" s="268">
        <f>(+D32-E32)/E32</f>
        <v>-9.8092772872639858E-2</v>
      </c>
      <c r="G32" s="267">
        <f>D32/C32</f>
        <v>0.26313311560985364</v>
      </c>
      <c r="H32" s="123"/>
    </row>
    <row r="33" spans="1:8" ht="15.75" customHeight="1" thickTop="1" x14ac:dyDescent="0.25">
      <c r="A33" s="130"/>
      <c r="B33" s="134"/>
      <c r="C33" s="204"/>
      <c r="D33" s="204"/>
      <c r="E33" s="204"/>
      <c r="F33" s="132"/>
      <c r="G33" s="218"/>
      <c r="H33" s="123"/>
    </row>
    <row r="34" spans="1:8" ht="15.75" x14ac:dyDescent="0.25">
      <c r="A34" s="130" t="s">
        <v>64</v>
      </c>
      <c r="B34" s="131">
        <f>DATE(2023,7,1)</f>
        <v>45108</v>
      </c>
      <c r="C34" s="204">
        <v>3361117</v>
      </c>
      <c r="D34" s="204">
        <v>707897</v>
      </c>
      <c r="E34" s="204">
        <v>700930</v>
      </c>
      <c r="F34" s="132">
        <f>(+D34-E34)/E34</f>
        <v>9.9396516057238243E-3</v>
      </c>
      <c r="G34" s="215">
        <f>D34/C34</f>
        <v>0.21061361446209698</v>
      </c>
      <c r="H34" s="123"/>
    </row>
    <row r="35" spans="1:8" ht="15.75" x14ac:dyDescent="0.25">
      <c r="A35" s="130"/>
      <c r="B35" s="131">
        <f>DATE(2023,8,1)</f>
        <v>45139</v>
      </c>
      <c r="C35" s="204">
        <v>2951366</v>
      </c>
      <c r="D35" s="204">
        <v>871889</v>
      </c>
      <c r="E35" s="204">
        <v>630145.5</v>
      </c>
      <c r="F35" s="132">
        <f>(+D35-E35)/E35</f>
        <v>0.38363124072138893</v>
      </c>
      <c r="G35" s="215">
        <f>D35/C35</f>
        <v>0.29541879929497056</v>
      </c>
      <c r="H35" s="123"/>
    </row>
    <row r="36" spans="1:8" ht="15.75" customHeight="1" thickBot="1" x14ac:dyDescent="0.3">
      <c r="A36" s="130"/>
      <c r="B36" s="131"/>
      <c r="C36" s="204"/>
      <c r="D36" s="204"/>
      <c r="E36" s="204"/>
      <c r="F36" s="132"/>
      <c r="G36" s="215"/>
      <c r="H36" s="123"/>
    </row>
    <row r="37" spans="1:8" ht="17.25" thickTop="1" thickBot="1" x14ac:dyDescent="0.3">
      <c r="A37" s="141" t="s">
        <v>14</v>
      </c>
      <c r="B37" s="142"/>
      <c r="C37" s="207">
        <f>SUM(C34:C36)</f>
        <v>6312483</v>
      </c>
      <c r="D37" s="261">
        <f>SUM(D34:D36)</f>
        <v>1579786</v>
      </c>
      <c r="E37" s="207">
        <f>SUM(E34:E36)</f>
        <v>1331075.5</v>
      </c>
      <c r="F37" s="268">
        <f>(+D37-E37)/E37</f>
        <v>0.1868492809010458</v>
      </c>
      <c r="G37" s="267">
        <f>D37/C37</f>
        <v>0.25026380269063697</v>
      </c>
      <c r="H37" s="123"/>
    </row>
    <row r="38" spans="1:8" ht="15.75" customHeight="1" thickTop="1" x14ac:dyDescent="0.25">
      <c r="A38" s="130"/>
      <c r="B38" s="134"/>
      <c r="C38" s="204"/>
      <c r="D38" s="204"/>
      <c r="E38" s="204"/>
      <c r="F38" s="132"/>
      <c r="G38" s="218"/>
      <c r="H38" s="123"/>
    </row>
    <row r="39" spans="1:8" ht="15.75" x14ac:dyDescent="0.25">
      <c r="A39" s="130" t="s">
        <v>67</v>
      </c>
      <c r="B39" s="131">
        <f>DATE(2023,7,1)</f>
        <v>45108</v>
      </c>
      <c r="C39" s="204">
        <v>8239268</v>
      </c>
      <c r="D39" s="204">
        <v>826564</v>
      </c>
      <c r="E39" s="204">
        <v>951854</v>
      </c>
      <c r="F39" s="132">
        <f>(+D39-E39)/E39</f>
        <v>-0.13162732940135777</v>
      </c>
      <c r="G39" s="215">
        <f>D39/C39</f>
        <v>0.1003200769777121</v>
      </c>
      <c r="H39" s="123"/>
    </row>
    <row r="40" spans="1:8" ht="15.75" x14ac:dyDescent="0.25">
      <c r="A40" s="130"/>
      <c r="B40" s="131">
        <f>DATE(2023,8,1)</f>
        <v>45139</v>
      </c>
      <c r="C40" s="204">
        <v>7087572</v>
      </c>
      <c r="D40" s="204">
        <v>916100.5</v>
      </c>
      <c r="E40" s="204">
        <v>1029739</v>
      </c>
      <c r="F40" s="132">
        <f>(+D40-E40)/E40</f>
        <v>-0.11035660492610264</v>
      </c>
      <c r="G40" s="215">
        <f>D40/C40</f>
        <v>0.1292544894076561</v>
      </c>
      <c r="H40" s="123"/>
    </row>
    <row r="41" spans="1:8" ht="15.75" customHeight="1" thickBot="1" x14ac:dyDescent="0.3">
      <c r="A41" s="130"/>
      <c r="B41" s="131"/>
      <c r="C41" s="204"/>
      <c r="D41" s="204"/>
      <c r="E41" s="204"/>
      <c r="F41" s="132"/>
      <c r="G41" s="215"/>
      <c r="H41" s="123"/>
    </row>
    <row r="42" spans="1:8" ht="17.25" thickTop="1" thickBot="1" x14ac:dyDescent="0.3">
      <c r="A42" s="141" t="s">
        <v>14</v>
      </c>
      <c r="B42" s="142"/>
      <c r="C42" s="207">
        <f>SUM(C39:C41)</f>
        <v>15326840</v>
      </c>
      <c r="D42" s="261">
        <f>SUM(D39:D41)</f>
        <v>1742664.5</v>
      </c>
      <c r="E42" s="207">
        <f>SUM(E39:E41)</f>
        <v>1981593</v>
      </c>
      <c r="F42" s="269">
        <f>(+D42-E42)/E42</f>
        <v>-0.12057395237064321</v>
      </c>
      <c r="G42" s="267">
        <f>D42/C42</f>
        <v>0.11370018216409906</v>
      </c>
      <c r="H42" s="123"/>
    </row>
    <row r="43" spans="1:8" ht="15.75" customHeight="1" thickTop="1" x14ac:dyDescent="0.25">
      <c r="A43" s="130"/>
      <c r="B43" s="139"/>
      <c r="C43" s="205"/>
      <c r="D43" s="205"/>
      <c r="E43" s="205"/>
      <c r="F43" s="140"/>
      <c r="G43" s="216"/>
      <c r="H43" s="123"/>
    </row>
    <row r="44" spans="1:8" ht="15.75" x14ac:dyDescent="0.25">
      <c r="A44" s="130" t="s">
        <v>69</v>
      </c>
      <c r="B44" s="131">
        <f>DATE(2023,7,1)</f>
        <v>45108</v>
      </c>
      <c r="C44" s="204">
        <v>6583612</v>
      </c>
      <c r="D44" s="204">
        <v>1705016.95</v>
      </c>
      <c r="E44" s="204">
        <v>1405783</v>
      </c>
      <c r="F44" s="132">
        <f>(+D44-E44)/E44</f>
        <v>0.21285927486674683</v>
      </c>
      <c r="G44" s="215">
        <f>D44/C44</f>
        <v>0.25897895410604393</v>
      </c>
      <c r="H44" s="123"/>
    </row>
    <row r="45" spans="1:8" ht="15.75" x14ac:dyDescent="0.25">
      <c r="A45" s="130"/>
      <c r="B45" s="131">
        <f>DATE(2023,8,1)</f>
        <v>45139</v>
      </c>
      <c r="C45" s="204">
        <v>6682064</v>
      </c>
      <c r="D45" s="204">
        <v>1401382.35</v>
      </c>
      <c r="E45" s="204">
        <v>1387184.42</v>
      </c>
      <c r="F45" s="132">
        <f>(+D45-E45)/E45</f>
        <v>1.0235070258358415E-2</v>
      </c>
      <c r="G45" s="215">
        <f>D45/C45</f>
        <v>0.20972297631390541</v>
      </c>
      <c r="H45" s="123"/>
    </row>
    <row r="46" spans="1:8" ht="15.75" customHeight="1" thickBot="1" x14ac:dyDescent="0.3">
      <c r="A46" s="130"/>
      <c r="B46" s="131"/>
      <c r="C46" s="204"/>
      <c r="D46" s="204"/>
      <c r="E46" s="204"/>
      <c r="F46" s="132"/>
      <c r="G46" s="215"/>
      <c r="H46" s="123"/>
    </row>
    <row r="47" spans="1:8" ht="17.25" thickTop="1" thickBot="1" x14ac:dyDescent="0.3">
      <c r="A47" s="141" t="s">
        <v>14</v>
      </c>
      <c r="B47" s="142"/>
      <c r="C47" s="206">
        <f>SUM(C44:C46)</f>
        <v>13265676</v>
      </c>
      <c r="D47" s="206">
        <f>SUM(D44:D46)</f>
        <v>3106399.3</v>
      </c>
      <c r="E47" s="206">
        <f>SUM(E44:E46)</f>
        <v>2792967.42</v>
      </c>
      <c r="F47" s="143">
        <f>(+D47-E47)/E47</f>
        <v>0.11222181746753061</v>
      </c>
      <c r="G47" s="217">
        <f>D47/C47</f>
        <v>0.23416818713196372</v>
      </c>
      <c r="H47" s="123"/>
    </row>
    <row r="48" spans="1:8" ht="15.75" customHeight="1" thickTop="1" x14ac:dyDescent="0.25">
      <c r="A48" s="138"/>
      <c r="B48" s="139"/>
      <c r="C48" s="205"/>
      <c r="D48" s="205"/>
      <c r="E48" s="205"/>
      <c r="F48" s="140"/>
      <c r="G48" s="216"/>
      <c r="H48" s="123"/>
    </row>
    <row r="49" spans="1:8" ht="15.75" x14ac:dyDescent="0.25">
      <c r="A49" s="130" t="s">
        <v>16</v>
      </c>
      <c r="B49" s="131">
        <f>DATE(2023,7,1)</f>
        <v>45108</v>
      </c>
      <c r="C49" s="204">
        <v>10870339</v>
      </c>
      <c r="D49" s="204">
        <v>2105009.5</v>
      </c>
      <c r="E49" s="204">
        <v>2289729.5</v>
      </c>
      <c r="F49" s="132">
        <f>(+D49-E49)/E49</f>
        <v>-8.0673284770100578E-2</v>
      </c>
      <c r="G49" s="215">
        <f>D49/C49</f>
        <v>0.1936470886510531</v>
      </c>
      <c r="H49" s="123"/>
    </row>
    <row r="50" spans="1:8" ht="15.75" x14ac:dyDescent="0.25">
      <c r="A50" s="130"/>
      <c r="B50" s="131">
        <f>DATE(2023,8,1)</f>
        <v>45139</v>
      </c>
      <c r="C50" s="204">
        <v>10577694.15</v>
      </c>
      <c r="D50" s="204">
        <v>1767661.15</v>
      </c>
      <c r="E50" s="204">
        <v>2099615</v>
      </c>
      <c r="F50" s="132">
        <f>(+D50-E50)/E50</f>
        <v>-0.15810224731677003</v>
      </c>
      <c r="G50" s="215">
        <f>D50/C50</f>
        <v>0.16711214419070719</v>
      </c>
      <c r="H50" s="123"/>
    </row>
    <row r="51" spans="1:8" ht="15.75" customHeight="1" thickBot="1" x14ac:dyDescent="0.3">
      <c r="A51" s="130"/>
      <c r="B51" s="131"/>
      <c r="C51" s="204"/>
      <c r="D51" s="204"/>
      <c r="E51" s="204"/>
      <c r="F51" s="132"/>
      <c r="G51" s="215"/>
      <c r="H51" s="123"/>
    </row>
    <row r="52" spans="1:8" ht="17.25" thickTop="1" thickBot="1" x14ac:dyDescent="0.3">
      <c r="A52" s="141" t="s">
        <v>14</v>
      </c>
      <c r="B52" s="142"/>
      <c r="C52" s="206">
        <f>SUM(C49:C51)</f>
        <v>21448033.149999999</v>
      </c>
      <c r="D52" s="206">
        <f>SUM(D49:D51)</f>
        <v>3872670.65</v>
      </c>
      <c r="E52" s="206">
        <f>SUM(E49:E51)</f>
        <v>4389344.5</v>
      </c>
      <c r="F52" s="143">
        <f>(+D52-E52)/E52</f>
        <v>-0.11771093610902496</v>
      </c>
      <c r="G52" s="217">
        <f>D52/C52</f>
        <v>0.18056064268998018</v>
      </c>
      <c r="H52" s="123"/>
    </row>
    <row r="53" spans="1:8" ht="15.75" customHeight="1" thickTop="1" x14ac:dyDescent="0.25">
      <c r="A53" s="138"/>
      <c r="B53" s="139"/>
      <c r="C53" s="205"/>
      <c r="D53" s="205"/>
      <c r="E53" s="205"/>
      <c r="F53" s="140"/>
      <c r="G53" s="216"/>
      <c r="H53" s="123"/>
    </row>
    <row r="54" spans="1:8" ht="15.75" x14ac:dyDescent="0.25">
      <c r="A54" s="130" t="s">
        <v>53</v>
      </c>
      <c r="B54" s="131">
        <f>DATE(2023,7,1)</f>
        <v>45108</v>
      </c>
      <c r="C54" s="204">
        <v>14493632</v>
      </c>
      <c r="D54" s="204">
        <v>2697018.32</v>
      </c>
      <c r="E54" s="204">
        <v>2740415.54</v>
      </c>
      <c r="F54" s="132">
        <f>(+D54-E54)/E54</f>
        <v>-1.5835999820669609E-2</v>
      </c>
      <c r="G54" s="215">
        <f>D54/C54</f>
        <v>0.18608298596238679</v>
      </c>
      <c r="H54" s="123"/>
    </row>
    <row r="55" spans="1:8" ht="15.75" x14ac:dyDescent="0.25">
      <c r="A55" s="130"/>
      <c r="B55" s="131">
        <f>DATE(2023,8,1)</f>
        <v>45139</v>
      </c>
      <c r="C55" s="204">
        <v>13342517</v>
      </c>
      <c r="D55" s="204">
        <v>2176274.1</v>
      </c>
      <c r="E55" s="204">
        <v>2942976.84</v>
      </c>
      <c r="F55" s="132">
        <f>(+D55-E55)/E55</f>
        <v>-0.26051946096864281</v>
      </c>
      <c r="G55" s="215">
        <f>D55/C55</f>
        <v>0.1631082126408383</v>
      </c>
      <c r="H55" s="123"/>
    </row>
    <row r="56" spans="1:8" ht="15.75" thickBot="1" x14ac:dyDescent="0.25">
      <c r="A56" s="133"/>
      <c r="B56" s="131"/>
      <c r="C56" s="204"/>
      <c r="D56" s="204"/>
      <c r="E56" s="204"/>
      <c r="F56" s="132"/>
      <c r="G56" s="215"/>
      <c r="H56" s="123"/>
    </row>
    <row r="57" spans="1:8" ht="17.25" thickTop="1" thickBot="1" x14ac:dyDescent="0.3">
      <c r="A57" s="141" t="s">
        <v>14</v>
      </c>
      <c r="B57" s="142"/>
      <c r="C57" s="207">
        <f>SUM(C54:C56)</f>
        <v>27836149</v>
      </c>
      <c r="D57" s="207">
        <f>SUM(D54:D56)</f>
        <v>4873292.42</v>
      </c>
      <c r="E57" s="207">
        <f>SUM(E54:E56)</f>
        <v>5683392.3799999999</v>
      </c>
      <c r="F57" s="143">
        <f>(+D57-E57)/E57</f>
        <v>-0.14253810151323743</v>
      </c>
      <c r="G57" s="267">
        <f>D57/C57</f>
        <v>0.17507063997968972</v>
      </c>
      <c r="H57" s="123"/>
    </row>
    <row r="58" spans="1:8" ht="15.75" customHeight="1" thickTop="1" x14ac:dyDescent="0.25">
      <c r="A58" s="138"/>
      <c r="B58" s="139"/>
      <c r="C58" s="205"/>
      <c r="D58" s="205"/>
      <c r="E58" s="205"/>
      <c r="F58" s="140"/>
      <c r="G58" s="219"/>
      <c r="H58" s="123"/>
    </row>
    <row r="59" spans="1:8" ht="15.75" x14ac:dyDescent="0.25">
      <c r="A59" s="130" t="s">
        <v>54</v>
      </c>
      <c r="B59" s="131">
        <f>DATE(2023,7,1)</f>
        <v>45108</v>
      </c>
      <c r="C59" s="204">
        <v>199161</v>
      </c>
      <c r="D59" s="204">
        <v>54168.5</v>
      </c>
      <c r="E59" s="204">
        <v>33672.5</v>
      </c>
      <c r="F59" s="132">
        <f>(+D59-E59)/E59</f>
        <v>0.60868661370554611</v>
      </c>
      <c r="G59" s="215">
        <f>D59/C59</f>
        <v>0.27198347065941625</v>
      </c>
      <c r="H59" s="123"/>
    </row>
    <row r="60" spans="1:8" ht="15.75" x14ac:dyDescent="0.25">
      <c r="A60" s="130"/>
      <c r="B60" s="131">
        <f>DATE(2023,8,1)</f>
        <v>45139</v>
      </c>
      <c r="C60" s="204">
        <v>175878</v>
      </c>
      <c r="D60" s="204">
        <v>48279.5</v>
      </c>
      <c r="E60" s="204">
        <v>43554</v>
      </c>
      <c r="F60" s="132">
        <f>(+D60-E60)/E60</f>
        <v>0.10849749735959957</v>
      </c>
      <c r="G60" s="215">
        <f>D60/C60</f>
        <v>0.27450562321609295</v>
      </c>
      <c r="H60" s="123"/>
    </row>
    <row r="61" spans="1:8" ht="15.75" thickBot="1" x14ac:dyDescent="0.25">
      <c r="A61" s="133"/>
      <c r="B61" s="134"/>
      <c r="C61" s="204"/>
      <c r="D61" s="204"/>
      <c r="E61" s="204"/>
      <c r="F61" s="132"/>
      <c r="G61" s="215"/>
      <c r="H61" s="123"/>
    </row>
    <row r="62" spans="1:8" ht="17.25" thickTop="1" thickBot="1" x14ac:dyDescent="0.3">
      <c r="A62" s="144" t="s">
        <v>14</v>
      </c>
      <c r="B62" s="145"/>
      <c r="C62" s="207">
        <f>SUM(C59:C61)</f>
        <v>375039</v>
      </c>
      <c r="D62" s="207">
        <f>SUM(D59:D61)</f>
        <v>102448</v>
      </c>
      <c r="E62" s="207">
        <f>SUM(E59:E61)</f>
        <v>77226.5</v>
      </c>
      <c r="F62" s="143">
        <f>(+D62-E62)/E62</f>
        <v>0.32659126077188527</v>
      </c>
      <c r="G62" s="217">
        <f>D62/C62</f>
        <v>0.27316625737589956</v>
      </c>
      <c r="H62" s="123"/>
    </row>
    <row r="63" spans="1:8" ht="15.75" customHeight="1" thickTop="1" x14ac:dyDescent="0.25">
      <c r="A63" s="130"/>
      <c r="B63" s="134"/>
      <c r="C63" s="204"/>
      <c r="D63" s="204"/>
      <c r="E63" s="204"/>
      <c r="F63" s="132"/>
      <c r="G63" s="218"/>
      <c r="H63" s="123"/>
    </row>
    <row r="64" spans="1:8" ht="15.75" x14ac:dyDescent="0.25">
      <c r="A64" s="130" t="s">
        <v>37</v>
      </c>
      <c r="B64" s="131">
        <f>DATE(2023,7,1)</f>
        <v>45108</v>
      </c>
      <c r="C64" s="204">
        <v>20709684</v>
      </c>
      <c r="D64" s="204">
        <v>4690410.88</v>
      </c>
      <c r="E64" s="204">
        <v>4747644.93</v>
      </c>
      <c r="F64" s="132">
        <f>(+D64-E64)/E64</f>
        <v>-1.2055250728280519E-2</v>
      </c>
      <c r="G64" s="215">
        <f>D64/C64</f>
        <v>0.22648394248796844</v>
      </c>
      <c r="H64" s="123"/>
    </row>
    <row r="65" spans="1:8" ht="15.75" x14ac:dyDescent="0.25">
      <c r="A65" s="130"/>
      <c r="B65" s="131">
        <f>DATE(2023,8,1)</f>
        <v>45139</v>
      </c>
      <c r="C65" s="204">
        <v>20362139</v>
      </c>
      <c r="D65" s="204">
        <v>3109199.97</v>
      </c>
      <c r="E65" s="204">
        <v>5944421.2300000004</v>
      </c>
      <c r="F65" s="132">
        <f>(+D65-E65)/E65</f>
        <v>-0.47695497177948137</v>
      </c>
      <c r="G65" s="215">
        <f>D65/C65</f>
        <v>0.15269515496382774</v>
      </c>
      <c r="H65" s="123"/>
    </row>
    <row r="66" spans="1:8" ht="15.75" thickBot="1" x14ac:dyDescent="0.25">
      <c r="A66" s="133"/>
      <c r="B66" s="134"/>
      <c r="C66" s="204"/>
      <c r="D66" s="204"/>
      <c r="E66" s="204"/>
      <c r="F66" s="132"/>
      <c r="G66" s="215"/>
      <c r="H66" s="123"/>
    </row>
    <row r="67" spans="1:8" ht="17.25" thickTop="1" thickBot="1" x14ac:dyDescent="0.3">
      <c r="A67" s="141" t="s">
        <v>14</v>
      </c>
      <c r="B67" s="142"/>
      <c r="C67" s="206">
        <f>SUM(C64:C66)</f>
        <v>41071823</v>
      </c>
      <c r="D67" s="207">
        <f>SUM(D64:D66)</f>
        <v>7799610.8499999996</v>
      </c>
      <c r="E67" s="206">
        <f>SUM(E64:E66)</f>
        <v>10692066.16</v>
      </c>
      <c r="F67" s="143">
        <f>(+D67-E67)/E67</f>
        <v>-0.27052351404454839</v>
      </c>
      <c r="G67" s="217">
        <f>D67/C67</f>
        <v>0.1899017448044612</v>
      </c>
      <c r="H67" s="123"/>
    </row>
    <row r="68" spans="1:8" ht="15.75" customHeight="1" thickTop="1" x14ac:dyDescent="0.25">
      <c r="A68" s="130"/>
      <c r="B68" s="134"/>
      <c r="C68" s="204"/>
      <c r="D68" s="204"/>
      <c r="E68" s="204"/>
      <c r="F68" s="132"/>
      <c r="G68" s="218"/>
      <c r="H68" s="123"/>
    </row>
    <row r="69" spans="1:8" ht="15.75" x14ac:dyDescent="0.25">
      <c r="A69" s="130" t="s">
        <v>57</v>
      </c>
      <c r="B69" s="131">
        <f>DATE(2023,7,1)</f>
        <v>45108</v>
      </c>
      <c r="C69" s="204">
        <v>667022</v>
      </c>
      <c r="D69" s="204">
        <v>167507.5</v>
      </c>
      <c r="E69" s="204">
        <v>196833</v>
      </c>
      <c r="F69" s="132">
        <f>(+D69-E69)/E69</f>
        <v>-0.14898670446520654</v>
      </c>
      <c r="G69" s="215">
        <f>D69/C69</f>
        <v>0.25112739909628168</v>
      </c>
      <c r="H69" s="123"/>
    </row>
    <row r="70" spans="1:8" ht="15.75" x14ac:dyDescent="0.25">
      <c r="A70" s="130"/>
      <c r="B70" s="131">
        <f>DATE(2023,8,1)</f>
        <v>45139</v>
      </c>
      <c r="C70" s="204">
        <v>610032</v>
      </c>
      <c r="D70" s="204">
        <v>211410</v>
      </c>
      <c r="E70" s="204">
        <v>151280.5</v>
      </c>
      <c r="F70" s="132">
        <f>(+D70-E70)/E70</f>
        <v>0.39747026219506149</v>
      </c>
      <c r="G70" s="215">
        <f>D70/C70</f>
        <v>0.34655559052639862</v>
      </c>
      <c r="H70" s="123"/>
    </row>
    <row r="71" spans="1:8" ht="15.75" thickBot="1" x14ac:dyDescent="0.25">
      <c r="A71" s="133"/>
      <c r="B71" s="134"/>
      <c r="C71" s="204"/>
      <c r="D71" s="204"/>
      <c r="E71" s="204"/>
      <c r="F71" s="132"/>
      <c r="G71" s="215"/>
      <c r="H71" s="123"/>
    </row>
    <row r="72" spans="1:8" ht="17.25" thickTop="1" thickBot="1" x14ac:dyDescent="0.3">
      <c r="A72" s="135" t="s">
        <v>14</v>
      </c>
      <c r="B72" s="136"/>
      <c r="C72" s="201">
        <f>SUM(C69:C71)</f>
        <v>1277054</v>
      </c>
      <c r="D72" s="207">
        <f>SUM(D69:D71)</f>
        <v>378917.5</v>
      </c>
      <c r="E72" s="207">
        <f>SUM(E69:E71)</f>
        <v>348113.5</v>
      </c>
      <c r="F72" s="143">
        <f>(+D72-E72)/E72</f>
        <v>8.8488380944720613E-2</v>
      </c>
      <c r="G72" s="217">
        <f>D72/C72</f>
        <v>0.29671219854446251</v>
      </c>
      <c r="H72" s="123"/>
    </row>
    <row r="73" spans="1:8" ht="16.5" thickTop="1" thickBot="1" x14ac:dyDescent="0.25">
      <c r="A73" s="146"/>
      <c r="B73" s="139"/>
      <c r="C73" s="205"/>
      <c r="D73" s="205"/>
      <c r="E73" s="205"/>
      <c r="F73" s="140"/>
      <c r="G73" s="216"/>
      <c r="H73" s="123"/>
    </row>
    <row r="74" spans="1:8" ht="17.25" thickTop="1" thickBot="1" x14ac:dyDescent="0.3">
      <c r="A74" s="147" t="s">
        <v>38</v>
      </c>
      <c r="B74" s="121"/>
      <c r="C74" s="201">
        <f>C72+C67+C52+C42+C32+C22+C12+C27+C62+C17+C47+C57+C37</f>
        <v>225893603.15000001</v>
      </c>
      <c r="D74" s="201">
        <f>D72+D67+D52+D42+D32+D22+D12+D27+D62+D17+D47+D57+D37</f>
        <v>43397926.099999994</v>
      </c>
      <c r="E74" s="201">
        <f>E72+E67+E52+E42+E32+E22+E12+E27+E62+E17+E47+E57+E37</f>
        <v>47998879.980000004</v>
      </c>
      <c r="F74" s="137">
        <f>(+D74-E74)/E74</f>
        <v>-9.5855442500264981E-2</v>
      </c>
      <c r="G74" s="212">
        <f>D74/C74</f>
        <v>0.19211666685037776</v>
      </c>
      <c r="H74" s="123"/>
    </row>
    <row r="75" spans="1:8" ht="17.25" thickTop="1" thickBot="1" x14ac:dyDescent="0.3">
      <c r="A75" s="147"/>
      <c r="B75" s="121"/>
      <c r="C75" s="201"/>
      <c r="D75" s="201"/>
      <c r="E75" s="201"/>
      <c r="F75" s="137"/>
      <c r="G75" s="212"/>
      <c r="H75" s="123"/>
    </row>
    <row r="76" spans="1:8" ht="17.25" thickTop="1" thickBot="1" x14ac:dyDescent="0.3">
      <c r="A76" s="265" t="s">
        <v>39</v>
      </c>
      <c r="B76" s="266"/>
      <c r="C76" s="206">
        <f>+C10+C15+C20+C25+C30+C35+C40+C45+C50+C55+C60+C65+C70</f>
        <v>109468119.15000001</v>
      </c>
      <c r="D76" s="206">
        <f>+D10+D15+D20+D25+D30+D35+D40+D45+D50+D55+D60+D65+D70</f>
        <v>19794668.949999999</v>
      </c>
      <c r="E76" s="206">
        <f>+E10+E15+E20+E25+E30+E35+E40+E45+E50+E55+E60+E65+E70</f>
        <v>24441000.010000002</v>
      </c>
      <c r="F76" s="268">
        <f>(+D76-E76)/E76</f>
        <v>-0.19010396702667495</v>
      </c>
      <c r="G76" s="217">
        <f>D76/C76</f>
        <v>0.18082587975112752</v>
      </c>
      <c r="H76" s="123"/>
    </row>
    <row r="77" spans="1:8" ht="16.5" thickTop="1" x14ac:dyDescent="0.25">
      <c r="A77" s="256"/>
      <c r="B77" s="258"/>
      <c r="C77" s="259"/>
      <c r="D77" s="259"/>
      <c r="E77" s="259"/>
      <c r="F77" s="260"/>
      <c r="G77" s="257"/>
      <c r="H77" s="257"/>
    </row>
    <row r="78" spans="1:8" ht="18.75" x14ac:dyDescent="0.3">
      <c r="A78" s="263" t="s">
        <v>40</v>
      </c>
      <c r="B78" s="117"/>
      <c r="C78" s="208"/>
      <c r="D78" s="208"/>
      <c r="E78" s="208"/>
      <c r="F78" s="148"/>
      <c r="G78" s="220"/>
    </row>
    <row r="79" spans="1:8" ht="15.75" x14ac:dyDescent="0.25">
      <c r="A79" s="7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9" t="s">
        <v>0</v>
      </c>
      <c r="B1" s="150"/>
      <c r="C1" s="222"/>
      <c r="D1" s="222"/>
      <c r="E1" s="222"/>
      <c r="F1" s="150"/>
      <c r="G1" s="234"/>
      <c r="H1" s="234"/>
    </row>
    <row r="2" spans="1:8" ht="18.75" x14ac:dyDescent="0.3">
      <c r="A2" s="153" t="s">
        <v>59</v>
      </c>
      <c r="B2" s="150"/>
      <c r="C2" s="222"/>
      <c r="D2" s="222"/>
      <c r="E2" s="222"/>
      <c r="F2" s="150"/>
      <c r="G2" s="234"/>
      <c r="H2" s="234"/>
    </row>
    <row r="3" spans="1:8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</row>
    <row r="4" spans="1:8" ht="18" x14ac:dyDescent="0.25">
      <c r="A4" s="285" t="s">
        <v>77</v>
      </c>
      <c r="B4" s="150"/>
      <c r="C4" s="222"/>
      <c r="D4" s="222"/>
      <c r="E4" s="222"/>
      <c r="F4" s="150"/>
      <c r="G4" s="234"/>
      <c r="H4" s="234"/>
    </row>
    <row r="5" spans="1:8" x14ac:dyDescent="0.2">
      <c r="A5" s="286" t="s">
        <v>73</v>
      </c>
      <c r="B5" s="150"/>
      <c r="C5" s="222"/>
      <c r="D5" s="222"/>
      <c r="E5" s="222"/>
      <c r="F5" s="150"/>
      <c r="G5" s="234"/>
      <c r="H5" s="234"/>
    </row>
    <row r="6" spans="1:8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</row>
    <row r="7" spans="1:8" ht="16.5" thickTop="1" x14ac:dyDescent="0.25">
      <c r="A7" s="154"/>
      <c r="B7" s="155" t="s">
        <v>2</v>
      </c>
      <c r="C7" s="223" t="s">
        <v>65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</row>
    <row r="8" spans="1:8" ht="16.5" thickBot="1" x14ac:dyDescent="0.3">
      <c r="A8" s="158" t="s">
        <v>5</v>
      </c>
      <c r="B8" s="159" t="s">
        <v>6</v>
      </c>
      <c r="C8" s="224" t="s">
        <v>45</v>
      </c>
      <c r="D8" s="224" t="s">
        <v>66</v>
      </c>
      <c r="E8" s="224" t="s">
        <v>66</v>
      </c>
      <c r="F8" s="160" t="s">
        <v>8</v>
      </c>
      <c r="G8" s="238" t="s">
        <v>35</v>
      </c>
      <c r="H8" s="254" t="s">
        <v>47</v>
      </c>
    </row>
    <row r="9" spans="1:8" ht="16.5" thickTop="1" x14ac:dyDescent="0.25">
      <c r="A9" s="161"/>
      <c r="B9" s="162"/>
      <c r="C9" s="225"/>
      <c r="D9" s="225"/>
      <c r="E9" s="225"/>
      <c r="F9" s="163"/>
      <c r="G9" s="239"/>
      <c r="H9" s="240"/>
    </row>
    <row r="10" spans="1:8" ht="15.75" x14ac:dyDescent="0.25">
      <c r="A10" s="164" t="s">
        <v>36</v>
      </c>
      <c r="B10" s="165">
        <f>DATE(23,7,1)</f>
        <v>8583</v>
      </c>
      <c r="C10" s="226">
        <v>0</v>
      </c>
      <c r="D10" s="226">
        <v>0</v>
      </c>
      <c r="E10" s="226">
        <v>120141.72</v>
      </c>
      <c r="F10" s="166">
        <v>-1</v>
      </c>
      <c r="G10" s="241">
        <v>0</v>
      </c>
      <c r="H10" s="289">
        <v>0</v>
      </c>
    </row>
    <row r="11" spans="1:8" ht="15.75" x14ac:dyDescent="0.25">
      <c r="A11" s="164"/>
      <c r="B11" s="165">
        <f>DATE(23,8,1)</f>
        <v>8614</v>
      </c>
      <c r="C11" s="226">
        <v>0</v>
      </c>
      <c r="D11" s="226">
        <v>0</v>
      </c>
      <c r="E11" s="226">
        <v>119034.53</v>
      </c>
      <c r="F11" s="166">
        <v>-1</v>
      </c>
      <c r="G11" s="241">
        <v>0</v>
      </c>
      <c r="H11" s="289">
        <v>0</v>
      </c>
    </row>
    <row r="12" spans="1:8" ht="15.75" thickBot="1" x14ac:dyDescent="0.25">
      <c r="A12" s="167"/>
      <c r="B12" s="168"/>
      <c r="C12" s="226"/>
      <c r="D12" s="226"/>
      <c r="E12" s="226"/>
      <c r="F12" s="166"/>
      <c r="G12" s="241"/>
      <c r="H12" s="242"/>
    </row>
    <row r="13" spans="1:8" ht="17.25" thickTop="1" thickBot="1" x14ac:dyDescent="0.3">
      <c r="A13" s="169" t="s">
        <v>14</v>
      </c>
      <c r="B13" s="155"/>
      <c r="C13" s="223">
        <f>SUM(C10:C12)</f>
        <v>0</v>
      </c>
      <c r="D13" s="223">
        <f>SUM(D10:D12)</f>
        <v>0</v>
      </c>
      <c r="E13" s="223">
        <f>SUM(E10:E12)</f>
        <v>239176.25</v>
      </c>
      <c r="F13" s="176">
        <f>+(D13-E13)/E13</f>
        <v>-1</v>
      </c>
      <c r="G13" s="245">
        <v>0</v>
      </c>
      <c r="H13" s="246">
        <v>0</v>
      </c>
    </row>
    <row r="14" spans="1:8" ht="15.75" thickTop="1" x14ac:dyDescent="0.2">
      <c r="A14" s="171"/>
      <c r="B14" s="172"/>
      <c r="C14" s="227"/>
      <c r="D14" s="227"/>
      <c r="E14" s="227"/>
      <c r="F14" s="173"/>
      <c r="G14" s="243"/>
      <c r="H14" s="244"/>
    </row>
    <row r="15" spans="1:8" ht="15.75" x14ac:dyDescent="0.25">
      <c r="A15" s="19" t="s">
        <v>48</v>
      </c>
      <c r="B15" s="165">
        <f>DATE(23,7,1)</f>
        <v>8583</v>
      </c>
      <c r="C15" s="226">
        <v>0</v>
      </c>
      <c r="D15" s="226">
        <v>0</v>
      </c>
      <c r="E15" s="226">
        <v>0</v>
      </c>
      <c r="F15" s="166">
        <v>0</v>
      </c>
      <c r="G15" s="241">
        <v>0</v>
      </c>
      <c r="H15" s="242">
        <v>0</v>
      </c>
    </row>
    <row r="16" spans="1:8" ht="15.75" x14ac:dyDescent="0.25">
      <c r="A16" s="19"/>
      <c r="B16" s="165">
        <f>DATE(23,8,1)</f>
        <v>8614</v>
      </c>
      <c r="C16" s="226">
        <v>0</v>
      </c>
      <c r="D16" s="226">
        <v>0</v>
      </c>
      <c r="E16" s="226">
        <v>0</v>
      </c>
      <c r="F16" s="166">
        <v>0</v>
      </c>
      <c r="G16" s="241">
        <v>0</v>
      </c>
      <c r="H16" s="242">
        <v>0</v>
      </c>
    </row>
    <row r="17" spans="1:8" ht="15.75" thickBot="1" x14ac:dyDescent="0.25">
      <c r="A17" s="167"/>
      <c r="B17" s="165"/>
      <c r="C17" s="226"/>
      <c r="D17" s="226"/>
      <c r="E17" s="226"/>
      <c r="F17" s="166"/>
      <c r="G17" s="241"/>
      <c r="H17" s="242"/>
    </row>
    <row r="18" spans="1:8" ht="17.25" thickTop="1" thickBot="1" x14ac:dyDescent="0.3">
      <c r="A18" s="169" t="s">
        <v>14</v>
      </c>
      <c r="B18" s="155"/>
      <c r="C18" s="223">
        <f>SUM(C15:C17)</f>
        <v>0</v>
      </c>
      <c r="D18" s="223">
        <f>SUM(D15:D17)</f>
        <v>0</v>
      </c>
      <c r="E18" s="223">
        <f>SUM(E15:E17)</f>
        <v>0</v>
      </c>
      <c r="F18" s="170">
        <v>0</v>
      </c>
      <c r="G18" s="236">
        <v>0</v>
      </c>
      <c r="H18" s="237">
        <v>0</v>
      </c>
    </row>
    <row r="19" spans="1:8" ht="15.75" thickTop="1" x14ac:dyDescent="0.2">
      <c r="A19" s="171"/>
      <c r="B19" s="172"/>
      <c r="C19" s="227"/>
      <c r="D19" s="227"/>
      <c r="E19" s="227"/>
      <c r="F19" s="173"/>
      <c r="G19" s="243"/>
      <c r="H19" s="244"/>
    </row>
    <row r="20" spans="1:8" ht="15.75" x14ac:dyDescent="0.25">
      <c r="A20" s="19" t="s">
        <v>62</v>
      </c>
      <c r="B20" s="165">
        <f>DATE(23,7,1)</f>
        <v>8583</v>
      </c>
      <c r="C20" s="226">
        <v>0</v>
      </c>
      <c r="D20" s="226">
        <v>0</v>
      </c>
      <c r="E20" s="226">
        <v>0</v>
      </c>
      <c r="F20" s="166">
        <v>0</v>
      </c>
      <c r="G20" s="241">
        <v>0</v>
      </c>
      <c r="H20" s="242">
        <v>0</v>
      </c>
    </row>
    <row r="21" spans="1:8" ht="15.75" x14ac:dyDescent="0.25">
      <c r="A21" s="19"/>
      <c r="B21" s="165">
        <f>DATE(23,8,1)</f>
        <v>8614</v>
      </c>
      <c r="C21" s="226">
        <v>0</v>
      </c>
      <c r="D21" s="226">
        <v>0</v>
      </c>
      <c r="E21" s="226">
        <v>0</v>
      </c>
      <c r="F21" s="166">
        <v>0</v>
      </c>
      <c r="G21" s="241">
        <v>0</v>
      </c>
      <c r="H21" s="242">
        <v>0</v>
      </c>
    </row>
    <row r="22" spans="1:8" ht="15.75" thickBot="1" x14ac:dyDescent="0.25">
      <c r="A22" s="167"/>
      <c r="B22" s="165"/>
      <c r="C22" s="226"/>
      <c r="D22" s="226"/>
      <c r="E22" s="226"/>
      <c r="F22" s="166"/>
      <c r="G22" s="241"/>
      <c r="H22" s="242"/>
    </row>
    <row r="23" spans="1:8" ht="17.25" thickTop="1" thickBot="1" x14ac:dyDescent="0.3">
      <c r="A23" s="174" t="s">
        <v>14</v>
      </c>
      <c r="B23" s="175"/>
      <c r="C23" s="228">
        <f>SUM(C20:C22)</f>
        <v>0</v>
      </c>
      <c r="D23" s="228">
        <f>SUM(D20:D22)</f>
        <v>0</v>
      </c>
      <c r="E23" s="228">
        <f>SUM(E20:E22)</f>
        <v>0</v>
      </c>
      <c r="F23" s="176">
        <v>0</v>
      </c>
      <c r="G23" s="245">
        <v>0</v>
      </c>
      <c r="H23" s="246">
        <v>0</v>
      </c>
    </row>
    <row r="24" spans="1:8" ht="15.75" thickTop="1" x14ac:dyDescent="0.2">
      <c r="A24" s="167"/>
      <c r="B24" s="168"/>
      <c r="C24" s="226"/>
      <c r="D24" s="226"/>
      <c r="E24" s="226"/>
      <c r="F24" s="166"/>
      <c r="G24" s="241"/>
      <c r="H24" s="242"/>
    </row>
    <row r="25" spans="1:8" ht="15.75" x14ac:dyDescent="0.25">
      <c r="A25" s="177" t="s">
        <v>58</v>
      </c>
      <c r="B25" s="165">
        <f>DATE(23,7,1)</f>
        <v>8583</v>
      </c>
      <c r="C25" s="226">
        <v>0</v>
      </c>
      <c r="D25" s="226">
        <v>0</v>
      </c>
      <c r="E25" s="226">
        <v>133555.04</v>
      </c>
      <c r="F25" s="166">
        <v>-1</v>
      </c>
      <c r="G25" s="241">
        <v>0</v>
      </c>
      <c r="H25" s="289">
        <v>0</v>
      </c>
    </row>
    <row r="26" spans="1:8" ht="15.75" x14ac:dyDescent="0.25">
      <c r="A26" s="177"/>
      <c r="B26" s="165">
        <f>DATE(23,8,1)</f>
        <v>8614</v>
      </c>
      <c r="C26" s="226">
        <v>0</v>
      </c>
      <c r="D26" s="226">
        <v>0</v>
      </c>
      <c r="E26" s="226">
        <v>183477.77</v>
      </c>
      <c r="F26" s="166">
        <v>-1</v>
      </c>
      <c r="G26" s="241">
        <v>0</v>
      </c>
      <c r="H26" s="289">
        <v>0</v>
      </c>
    </row>
    <row r="27" spans="1:8" ht="15.75" thickBot="1" x14ac:dyDescent="0.25">
      <c r="A27" s="167"/>
      <c r="B27" s="168"/>
      <c r="C27" s="226"/>
      <c r="D27" s="226"/>
      <c r="E27" s="226"/>
      <c r="F27" s="166"/>
      <c r="G27" s="241"/>
      <c r="H27" s="242"/>
    </row>
    <row r="28" spans="1:8" ht="17.25" thickTop="1" thickBot="1" x14ac:dyDescent="0.3">
      <c r="A28" s="174" t="s">
        <v>14</v>
      </c>
      <c r="B28" s="178"/>
      <c r="C28" s="228">
        <f>SUM(C25:C27)</f>
        <v>0</v>
      </c>
      <c r="D28" s="228">
        <f>SUM(D25:D27)</f>
        <v>0</v>
      </c>
      <c r="E28" s="228">
        <f>SUM(E25:E27)</f>
        <v>317032.81</v>
      </c>
      <c r="F28" s="176">
        <f>+(D28-E28)/E28</f>
        <v>-1</v>
      </c>
      <c r="G28" s="245">
        <v>0</v>
      </c>
      <c r="H28" s="246">
        <v>0</v>
      </c>
    </row>
    <row r="29" spans="1:8" ht="15.75" thickTop="1" x14ac:dyDescent="0.2">
      <c r="A29" s="167"/>
      <c r="B29" s="168"/>
      <c r="C29" s="226"/>
      <c r="D29" s="226"/>
      <c r="E29" s="226"/>
      <c r="F29" s="166"/>
      <c r="G29" s="241"/>
      <c r="H29" s="242"/>
    </row>
    <row r="30" spans="1:8" ht="15.75" x14ac:dyDescent="0.25">
      <c r="A30" s="164" t="s">
        <v>60</v>
      </c>
      <c r="B30" s="165">
        <f>DATE(23,7,1)</f>
        <v>8583</v>
      </c>
      <c r="C30" s="226">
        <v>0</v>
      </c>
      <c r="D30" s="226">
        <v>0</v>
      </c>
      <c r="E30" s="226">
        <v>0</v>
      </c>
      <c r="F30" s="166">
        <v>0</v>
      </c>
      <c r="G30" s="241">
        <v>0</v>
      </c>
      <c r="H30" s="242">
        <v>0</v>
      </c>
    </row>
    <row r="31" spans="1:8" ht="15.75" x14ac:dyDescent="0.25">
      <c r="A31" s="164"/>
      <c r="B31" s="165">
        <f>DATE(23,8,1)</f>
        <v>8614</v>
      </c>
      <c r="C31" s="226">
        <v>0</v>
      </c>
      <c r="D31" s="226">
        <v>0</v>
      </c>
      <c r="E31" s="226">
        <v>0</v>
      </c>
      <c r="F31" s="166">
        <v>0</v>
      </c>
      <c r="G31" s="241">
        <v>0</v>
      </c>
      <c r="H31" s="242">
        <v>0</v>
      </c>
    </row>
    <row r="32" spans="1:8" ht="15.75" thickBot="1" x14ac:dyDescent="0.25">
      <c r="A32" s="167"/>
      <c r="B32" s="165"/>
      <c r="C32" s="226"/>
      <c r="D32" s="226"/>
      <c r="E32" s="226"/>
      <c r="F32" s="166"/>
      <c r="G32" s="241"/>
      <c r="H32" s="242"/>
    </row>
    <row r="33" spans="1:8" ht="17.25" thickTop="1" thickBot="1" x14ac:dyDescent="0.3">
      <c r="A33" s="174" t="s">
        <v>14</v>
      </c>
      <c r="B33" s="175"/>
      <c r="C33" s="228">
        <f>SUM(C30:C32)</f>
        <v>0</v>
      </c>
      <c r="D33" s="230">
        <f>SUM(D30:D32)</f>
        <v>0</v>
      </c>
      <c r="E33" s="271">
        <f>SUM(E30:E32)</f>
        <v>0</v>
      </c>
      <c r="F33" s="176">
        <v>0</v>
      </c>
      <c r="G33" s="245">
        <v>0</v>
      </c>
      <c r="H33" s="246">
        <v>0</v>
      </c>
    </row>
    <row r="34" spans="1:8" ht="15.75" thickTop="1" x14ac:dyDescent="0.2">
      <c r="A34" s="167"/>
      <c r="B34" s="168"/>
      <c r="C34" s="226"/>
      <c r="D34" s="226"/>
      <c r="E34" s="226"/>
      <c r="F34" s="166"/>
      <c r="G34" s="241"/>
      <c r="H34" s="242"/>
    </row>
    <row r="35" spans="1:8" ht="15.75" x14ac:dyDescent="0.25">
      <c r="A35" s="164" t="s">
        <v>64</v>
      </c>
      <c r="B35" s="165">
        <f>DATE(23,7,1)</f>
        <v>8583</v>
      </c>
      <c r="C35" s="226">
        <v>0</v>
      </c>
      <c r="D35" s="226">
        <v>0</v>
      </c>
      <c r="E35" s="226">
        <v>0</v>
      </c>
      <c r="F35" s="166">
        <v>0</v>
      </c>
      <c r="G35" s="241">
        <v>0</v>
      </c>
      <c r="H35" s="242">
        <v>0</v>
      </c>
    </row>
    <row r="36" spans="1:8" ht="15.75" x14ac:dyDescent="0.25">
      <c r="A36" s="164"/>
      <c r="B36" s="165">
        <f>DATE(23,8,1)</f>
        <v>8614</v>
      </c>
      <c r="C36" s="226">
        <v>0</v>
      </c>
      <c r="D36" s="226">
        <v>0</v>
      </c>
      <c r="E36" s="226">
        <v>0</v>
      </c>
      <c r="F36" s="166">
        <v>0</v>
      </c>
      <c r="G36" s="241">
        <v>0</v>
      </c>
      <c r="H36" s="242">
        <v>0</v>
      </c>
    </row>
    <row r="37" spans="1:8" ht="15.75" thickBot="1" x14ac:dyDescent="0.25">
      <c r="A37" s="167"/>
      <c r="B37" s="165"/>
      <c r="C37" s="226"/>
      <c r="D37" s="226"/>
      <c r="E37" s="226"/>
      <c r="F37" s="166"/>
      <c r="G37" s="241"/>
      <c r="H37" s="242"/>
    </row>
    <row r="38" spans="1:8" ht="17.25" thickTop="1" thickBot="1" x14ac:dyDescent="0.3">
      <c r="A38" s="174" t="s">
        <v>14</v>
      </c>
      <c r="B38" s="175"/>
      <c r="C38" s="228">
        <f>SUM(C35:C37)</f>
        <v>0</v>
      </c>
      <c r="D38" s="230">
        <f>SUM(D35:D37)</f>
        <v>0</v>
      </c>
      <c r="E38" s="271">
        <f>SUM(E35:E37)</f>
        <v>0</v>
      </c>
      <c r="F38" s="176">
        <v>0</v>
      </c>
      <c r="G38" s="245">
        <v>0</v>
      </c>
      <c r="H38" s="246">
        <v>0</v>
      </c>
    </row>
    <row r="39" spans="1:8" ht="15.75" thickTop="1" x14ac:dyDescent="0.2">
      <c r="A39" s="167"/>
      <c r="B39" s="168"/>
      <c r="C39" s="226"/>
      <c r="D39" s="226"/>
      <c r="E39" s="226"/>
      <c r="F39" s="166"/>
      <c r="G39" s="241"/>
      <c r="H39" s="242"/>
    </row>
    <row r="40" spans="1:8" ht="15.75" x14ac:dyDescent="0.25">
      <c r="A40" s="164" t="s">
        <v>67</v>
      </c>
      <c r="B40" s="165">
        <f>DATE(23,7,1)</f>
        <v>8583</v>
      </c>
      <c r="C40" s="226">
        <v>0</v>
      </c>
      <c r="D40" s="226">
        <v>0</v>
      </c>
      <c r="E40" s="226">
        <v>0</v>
      </c>
      <c r="F40" s="166">
        <v>0</v>
      </c>
      <c r="G40" s="241">
        <v>0</v>
      </c>
      <c r="H40" s="242">
        <v>0</v>
      </c>
    </row>
    <row r="41" spans="1:8" ht="15.75" x14ac:dyDescent="0.25">
      <c r="A41" s="164"/>
      <c r="B41" s="165">
        <f>DATE(23,8,1)</f>
        <v>8614</v>
      </c>
      <c r="C41" s="226">
        <v>0</v>
      </c>
      <c r="D41" s="226">
        <v>0</v>
      </c>
      <c r="E41" s="226">
        <v>0</v>
      </c>
      <c r="F41" s="166">
        <v>0</v>
      </c>
      <c r="G41" s="241">
        <v>0</v>
      </c>
      <c r="H41" s="242">
        <v>0</v>
      </c>
    </row>
    <row r="42" spans="1:8" ht="15.75" thickBot="1" x14ac:dyDescent="0.25">
      <c r="A42" s="167"/>
      <c r="B42" s="165"/>
      <c r="C42" s="226"/>
      <c r="D42" s="226"/>
      <c r="E42" s="226"/>
      <c r="F42" s="166"/>
      <c r="G42" s="241"/>
      <c r="H42" s="242"/>
    </row>
    <row r="43" spans="1:8" ht="17.25" thickTop="1" thickBot="1" x14ac:dyDescent="0.3">
      <c r="A43" s="174" t="s">
        <v>14</v>
      </c>
      <c r="B43" s="175"/>
      <c r="C43" s="228">
        <f>SUM(C40:C42)</f>
        <v>0</v>
      </c>
      <c r="D43" s="230">
        <f>SUM(D40:D42)</f>
        <v>0</v>
      </c>
      <c r="E43" s="271">
        <f>SUM(E40:E42)</f>
        <v>0</v>
      </c>
      <c r="F43" s="176">
        <v>0</v>
      </c>
      <c r="G43" s="245">
        <v>0</v>
      </c>
      <c r="H43" s="246">
        <v>0</v>
      </c>
    </row>
    <row r="44" spans="1:8" ht="15.75" thickTop="1" x14ac:dyDescent="0.2">
      <c r="A44" s="167"/>
      <c r="B44" s="168"/>
      <c r="C44" s="226"/>
      <c r="D44" s="226"/>
      <c r="E44" s="226"/>
      <c r="F44" s="166"/>
      <c r="G44" s="241"/>
      <c r="H44" s="242"/>
    </row>
    <row r="45" spans="1:8" ht="15.75" x14ac:dyDescent="0.25">
      <c r="A45" s="164" t="s">
        <v>69</v>
      </c>
      <c r="B45" s="165">
        <f>DATE(23,7,1)</f>
        <v>8583</v>
      </c>
      <c r="C45" s="226">
        <v>0</v>
      </c>
      <c r="D45" s="226">
        <v>0</v>
      </c>
      <c r="E45" s="226">
        <v>0</v>
      </c>
      <c r="F45" s="166">
        <v>0</v>
      </c>
      <c r="G45" s="241">
        <v>0</v>
      </c>
      <c r="H45" s="242">
        <v>0</v>
      </c>
    </row>
    <row r="46" spans="1:8" ht="15.75" x14ac:dyDescent="0.25">
      <c r="A46" s="164"/>
      <c r="B46" s="165">
        <f>DATE(23,8,1)</f>
        <v>8614</v>
      </c>
      <c r="C46" s="226">
        <v>0</v>
      </c>
      <c r="D46" s="226">
        <v>0</v>
      </c>
      <c r="E46" s="226">
        <v>0</v>
      </c>
      <c r="F46" s="166">
        <v>0</v>
      </c>
      <c r="G46" s="241">
        <v>0</v>
      </c>
      <c r="H46" s="242">
        <v>0</v>
      </c>
    </row>
    <row r="47" spans="1:8" ht="15.75" thickBot="1" x14ac:dyDescent="0.25">
      <c r="A47" s="167"/>
      <c r="B47" s="165"/>
      <c r="C47" s="226"/>
      <c r="D47" s="226"/>
      <c r="E47" s="226"/>
      <c r="F47" s="166"/>
      <c r="G47" s="241"/>
      <c r="H47" s="242"/>
    </row>
    <row r="48" spans="1:8" ht="17.25" thickTop="1" thickBot="1" x14ac:dyDescent="0.3">
      <c r="A48" s="174" t="s">
        <v>14</v>
      </c>
      <c r="B48" s="175"/>
      <c r="C48" s="228">
        <f>SUM(C45:C47)</f>
        <v>0</v>
      </c>
      <c r="D48" s="230">
        <f>SUM(D45:D47)</f>
        <v>0</v>
      </c>
      <c r="E48" s="271">
        <f>SUM(E45:E47)</f>
        <v>0</v>
      </c>
      <c r="F48" s="176">
        <v>0</v>
      </c>
      <c r="G48" s="249">
        <v>0</v>
      </c>
      <c r="H48" s="270">
        <v>0</v>
      </c>
    </row>
    <row r="49" spans="1:8" ht="15.75" thickTop="1" x14ac:dyDescent="0.2">
      <c r="A49" s="167"/>
      <c r="B49" s="179"/>
      <c r="C49" s="229"/>
      <c r="D49" s="229"/>
      <c r="E49" s="229"/>
      <c r="F49" s="180"/>
      <c r="G49" s="247"/>
      <c r="H49" s="248"/>
    </row>
    <row r="50" spans="1:8" ht="15.75" x14ac:dyDescent="0.25">
      <c r="A50" s="164" t="s">
        <v>16</v>
      </c>
      <c r="B50" s="165">
        <f>DATE(23,7,1)</f>
        <v>8583</v>
      </c>
      <c r="C50" s="226">
        <v>0</v>
      </c>
      <c r="D50" s="226">
        <v>0</v>
      </c>
      <c r="E50" s="226">
        <v>0</v>
      </c>
      <c r="F50" s="166">
        <v>0</v>
      </c>
      <c r="G50" s="241">
        <v>0</v>
      </c>
      <c r="H50" s="242">
        <v>0</v>
      </c>
    </row>
    <row r="51" spans="1:8" ht="15.75" x14ac:dyDescent="0.25">
      <c r="A51" s="164"/>
      <c r="B51" s="165">
        <f>DATE(23,8,1)</f>
        <v>8614</v>
      </c>
      <c r="C51" s="226">
        <v>0</v>
      </c>
      <c r="D51" s="226">
        <v>0</v>
      </c>
      <c r="E51" s="226">
        <v>0</v>
      </c>
      <c r="F51" s="166">
        <v>0</v>
      </c>
      <c r="G51" s="241">
        <v>0</v>
      </c>
      <c r="H51" s="242">
        <v>0</v>
      </c>
    </row>
    <row r="52" spans="1:8" ht="16.5" thickBot="1" x14ac:dyDescent="0.3">
      <c r="A52" s="164"/>
      <c r="B52" s="165"/>
      <c r="C52" s="226"/>
      <c r="D52" s="226"/>
      <c r="E52" s="226"/>
      <c r="F52" s="166"/>
      <c r="G52" s="241"/>
      <c r="H52" s="242"/>
    </row>
    <row r="53" spans="1:8" ht="17.25" thickTop="1" thickBot="1" x14ac:dyDescent="0.3">
      <c r="A53" s="174" t="s">
        <v>14</v>
      </c>
      <c r="B53" s="181"/>
      <c r="C53" s="228">
        <f>SUM(C50:C52)</f>
        <v>0</v>
      </c>
      <c r="D53" s="228">
        <f>SUM(D50:D52)</f>
        <v>0</v>
      </c>
      <c r="E53" s="228">
        <f>SUM(E50:E52)</f>
        <v>0</v>
      </c>
      <c r="F53" s="176">
        <v>0</v>
      </c>
      <c r="G53" s="245">
        <v>0</v>
      </c>
      <c r="H53" s="246">
        <v>0</v>
      </c>
    </row>
    <row r="54" spans="1:8" ht="15.75" thickTop="1" x14ac:dyDescent="0.2">
      <c r="A54" s="171"/>
      <c r="B54" s="172"/>
      <c r="C54" s="227"/>
      <c r="D54" s="227"/>
      <c r="E54" s="227"/>
      <c r="F54" s="173"/>
      <c r="G54" s="243"/>
      <c r="H54" s="244"/>
    </row>
    <row r="55" spans="1:8" ht="15.75" x14ac:dyDescent="0.25">
      <c r="A55" s="164" t="s">
        <v>53</v>
      </c>
      <c r="B55" s="165">
        <f>DATE(23,7,1)</f>
        <v>8583</v>
      </c>
      <c r="C55" s="226">
        <v>0</v>
      </c>
      <c r="D55" s="226">
        <v>0</v>
      </c>
      <c r="E55" s="226">
        <v>0</v>
      </c>
      <c r="F55" s="166">
        <v>0</v>
      </c>
      <c r="G55" s="241">
        <v>0</v>
      </c>
      <c r="H55" s="242">
        <v>0</v>
      </c>
    </row>
    <row r="56" spans="1:8" ht="15.75" x14ac:dyDescent="0.25">
      <c r="A56" s="164"/>
      <c r="B56" s="165">
        <f>DATE(23,8,1)</f>
        <v>8614</v>
      </c>
      <c r="C56" s="226">
        <v>0</v>
      </c>
      <c r="D56" s="226">
        <v>0</v>
      </c>
      <c r="E56" s="226">
        <v>0</v>
      </c>
      <c r="F56" s="166">
        <v>0</v>
      </c>
      <c r="G56" s="241">
        <v>0</v>
      </c>
      <c r="H56" s="242">
        <v>0</v>
      </c>
    </row>
    <row r="57" spans="1:8" ht="15.75" thickBot="1" x14ac:dyDescent="0.25">
      <c r="A57" s="167"/>
      <c r="B57" s="168"/>
      <c r="C57" s="226"/>
      <c r="D57" s="226"/>
      <c r="E57" s="226"/>
      <c r="F57" s="166"/>
      <c r="G57" s="241"/>
      <c r="H57" s="242"/>
    </row>
    <row r="58" spans="1:8" ht="17.25" thickTop="1" thickBot="1" x14ac:dyDescent="0.3">
      <c r="A58" s="174" t="s">
        <v>14</v>
      </c>
      <c r="B58" s="175"/>
      <c r="C58" s="228">
        <f>SUM(C55:C57)</f>
        <v>0</v>
      </c>
      <c r="D58" s="228">
        <f>SUM(D55:D57)</f>
        <v>0</v>
      </c>
      <c r="E58" s="228">
        <f>SUM(E55:E57)</f>
        <v>0</v>
      </c>
      <c r="F58" s="176">
        <v>0</v>
      </c>
      <c r="G58" s="245">
        <v>0</v>
      </c>
      <c r="H58" s="246">
        <v>0</v>
      </c>
    </row>
    <row r="59" spans="1:8" ht="15.75" thickTop="1" x14ac:dyDescent="0.2">
      <c r="A59" s="167"/>
      <c r="B59" s="168"/>
      <c r="C59" s="226"/>
      <c r="D59" s="226"/>
      <c r="E59" s="226"/>
      <c r="F59" s="166"/>
      <c r="G59" s="241"/>
      <c r="H59" s="242"/>
    </row>
    <row r="60" spans="1:8" ht="15.75" x14ac:dyDescent="0.25">
      <c r="A60" s="164" t="s">
        <v>54</v>
      </c>
      <c r="B60" s="165">
        <f>DATE(23,7,1)</f>
        <v>8583</v>
      </c>
      <c r="C60" s="226">
        <v>0</v>
      </c>
      <c r="D60" s="226">
        <v>0</v>
      </c>
      <c r="E60" s="226">
        <v>0</v>
      </c>
      <c r="F60" s="166">
        <v>0</v>
      </c>
      <c r="G60" s="241">
        <v>0</v>
      </c>
      <c r="H60" s="242">
        <v>0</v>
      </c>
    </row>
    <row r="61" spans="1:8" ht="15.75" x14ac:dyDescent="0.25">
      <c r="A61" s="164"/>
      <c r="B61" s="165">
        <f>DATE(23,8,1)</f>
        <v>8614</v>
      </c>
      <c r="C61" s="226">
        <v>0</v>
      </c>
      <c r="D61" s="226">
        <v>0</v>
      </c>
      <c r="E61" s="226">
        <v>0</v>
      </c>
      <c r="F61" s="166">
        <v>0</v>
      </c>
      <c r="G61" s="241">
        <v>0</v>
      </c>
      <c r="H61" s="242">
        <v>0</v>
      </c>
    </row>
    <row r="62" spans="1:8" ht="15.75" thickBot="1" x14ac:dyDescent="0.25">
      <c r="A62" s="167"/>
      <c r="B62" s="168"/>
      <c r="C62" s="226"/>
      <c r="D62" s="226"/>
      <c r="E62" s="226"/>
      <c r="F62" s="166"/>
      <c r="G62" s="241"/>
      <c r="H62" s="242"/>
    </row>
    <row r="63" spans="1:8" ht="17.25" thickTop="1" thickBot="1" x14ac:dyDescent="0.3">
      <c r="A63" s="182" t="s">
        <v>14</v>
      </c>
      <c r="B63" s="183"/>
      <c r="C63" s="230">
        <f>SUM(C60:C62)</f>
        <v>0</v>
      </c>
      <c r="D63" s="230">
        <f>SUM(D60:D62)</f>
        <v>0</v>
      </c>
      <c r="E63" s="230">
        <f>SUM(E60:E62)</f>
        <v>0</v>
      </c>
      <c r="F63" s="176">
        <v>0</v>
      </c>
      <c r="G63" s="245">
        <v>0</v>
      </c>
      <c r="H63" s="246">
        <v>0</v>
      </c>
    </row>
    <row r="64" spans="1:8" ht="15.75" thickTop="1" x14ac:dyDescent="0.2">
      <c r="A64" s="167"/>
      <c r="B64" s="168"/>
      <c r="C64" s="226"/>
      <c r="D64" s="226"/>
      <c r="E64" s="226"/>
      <c r="F64" s="166"/>
      <c r="G64" s="241"/>
      <c r="H64" s="242"/>
    </row>
    <row r="65" spans="1:8" ht="15.75" x14ac:dyDescent="0.25">
      <c r="A65" s="164" t="s">
        <v>37</v>
      </c>
      <c r="B65" s="165">
        <f>DATE(23,7,1)</f>
        <v>8583</v>
      </c>
      <c r="C65" s="226">
        <v>3921585</v>
      </c>
      <c r="D65" s="226">
        <v>179389.2</v>
      </c>
      <c r="E65" s="226">
        <v>215844.68</v>
      </c>
      <c r="F65" s="166">
        <f>+(D65-E65)/E65</f>
        <v>-0.16889681969460624</v>
      </c>
      <c r="G65" s="241">
        <f>+D65/C65</f>
        <v>4.5744055018570304E-2</v>
      </c>
      <c r="H65" s="289">
        <f>1-G65</f>
        <v>0.95425594498142974</v>
      </c>
    </row>
    <row r="66" spans="1:8" ht="15.75" x14ac:dyDescent="0.25">
      <c r="A66" s="164"/>
      <c r="B66" s="165">
        <f>DATE(23,8,1)</f>
        <v>8614</v>
      </c>
      <c r="C66" s="226">
        <v>4810863</v>
      </c>
      <c r="D66" s="226">
        <v>198288.36</v>
      </c>
      <c r="E66" s="226">
        <v>222475.66</v>
      </c>
      <c r="F66" s="166">
        <f>+(D66-E66)/E66</f>
        <v>-0.10871885940241741</v>
      </c>
      <c r="G66" s="241">
        <f>+D66/C66</f>
        <v>4.1216796238013845E-2</v>
      </c>
      <c r="H66" s="289">
        <f>1-G66</f>
        <v>0.95878320376198611</v>
      </c>
    </row>
    <row r="67" spans="1:8" ht="15.75" thickBot="1" x14ac:dyDescent="0.25">
      <c r="A67" s="167"/>
      <c r="B67" s="168"/>
      <c r="C67" s="226"/>
      <c r="D67" s="226"/>
      <c r="E67" s="226"/>
      <c r="F67" s="166"/>
      <c r="G67" s="241"/>
      <c r="H67" s="242"/>
    </row>
    <row r="68" spans="1:8" ht="17.25" thickTop="1" thickBot="1" x14ac:dyDescent="0.3">
      <c r="A68" s="174" t="s">
        <v>14</v>
      </c>
      <c r="B68" s="175"/>
      <c r="C68" s="228">
        <f>SUM(C65:C67)</f>
        <v>8732448</v>
      </c>
      <c r="D68" s="228">
        <f>SUM(D65:D67)</f>
        <v>377677.56</v>
      </c>
      <c r="E68" s="228">
        <f>SUM(E65:E67)</f>
        <v>438320.33999999997</v>
      </c>
      <c r="F68" s="176">
        <f>+(D68-E68)/E68</f>
        <v>-0.13835264865874117</v>
      </c>
      <c r="G68" s="245">
        <f>+D68/C68</f>
        <v>4.3249906555412637E-2</v>
      </c>
      <c r="H68" s="246">
        <f>1-G68</f>
        <v>0.95675009344458739</v>
      </c>
    </row>
    <row r="69" spans="1:8" ht="15.75" thickTop="1" x14ac:dyDescent="0.2">
      <c r="A69" s="167"/>
      <c r="B69" s="168"/>
      <c r="C69" s="226"/>
      <c r="D69" s="226"/>
      <c r="E69" s="226"/>
      <c r="F69" s="166"/>
      <c r="G69" s="241"/>
      <c r="H69" s="242"/>
    </row>
    <row r="70" spans="1:8" ht="15.75" x14ac:dyDescent="0.25">
      <c r="A70" s="164" t="s">
        <v>57</v>
      </c>
      <c r="B70" s="165">
        <f>DATE(23,7,1)</f>
        <v>8583</v>
      </c>
      <c r="C70" s="226">
        <v>0</v>
      </c>
      <c r="D70" s="226">
        <v>0</v>
      </c>
      <c r="E70" s="226">
        <v>0</v>
      </c>
      <c r="F70" s="166">
        <v>0</v>
      </c>
      <c r="G70" s="241">
        <v>0</v>
      </c>
      <c r="H70" s="242">
        <v>0</v>
      </c>
    </row>
    <row r="71" spans="1:8" ht="15.75" x14ac:dyDescent="0.25">
      <c r="A71" s="164"/>
      <c r="B71" s="165">
        <f>DATE(23,8,1)</f>
        <v>8614</v>
      </c>
      <c r="C71" s="226">
        <v>0</v>
      </c>
      <c r="D71" s="226">
        <v>0</v>
      </c>
      <c r="E71" s="226">
        <v>0</v>
      </c>
      <c r="F71" s="166">
        <v>0</v>
      </c>
      <c r="G71" s="241">
        <v>0</v>
      </c>
      <c r="H71" s="242">
        <v>0</v>
      </c>
    </row>
    <row r="72" spans="1:8" ht="15.75" thickBot="1" x14ac:dyDescent="0.25">
      <c r="A72" s="167"/>
      <c r="B72" s="168"/>
      <c r="C72" s="226"/>
      <c r="D72" s="226"/>
      <c r="E72" s="226"/>
      <c r="F72" s="166"/>
      <c r="G72" s="241"/>
      <c r="H72" s="242"/>
    </row>
    <row r="73" spans="1:8" ht="17.25" thickTop="1" thickBot="1" x14ac:dyDescent="0.3">
      <c r="A73" s="169" t="s">
        <v>14</v>
      </c>
      <c r="B73" s="155"/>
      <c r="C73" s="223">
        <f>SUM(C70:C72)</f>
        <v>0</v>
      </c>
      <c r="D73" s="223">
        <f>SUM(D70:D72)</f>
        <v>0</v>
      </c>
      <c r="E73" s="223">
        <f>SUM(E70:E72)</f>
        <v>0</v>
      </c>
      <c r="F73" s="176">
        <v>0</v>
      </c>
      <c r="G73" s="245">
        <v>0</v>
      </c>
      <c r="H73" s="246">
        <v>0</v>
      </c>
    </row>
    <row r="74" spans="1:8" ht="16.5" thickTop="1" thickBot="1" x14ac:dyDescent="0.25">
      <c r="A74" s="171"/>
      <c r="B74" s="172"/>
      <c r="C74" s="227"/>
      <c r="D74" s="227"/>
      <c r="E74" s="227"/>
      <c r="F74" s="173"/>
      <c r="G74" s="243"/>
      <c r="H74" s="244"/>
    </row>
    <row r="75" spans="1:8" ht="17.25" thickTop="1" thickBot="1" x14ac:dyDescent="0.3">
      <c r="A75" s="184" t="s">
        <v>38</v>
      </c>
      <c r="B75" s="155"/>
      <c r="C75" s="223">
        <f>C73+C68+C53+C43+C33+C23+C13+C28+C63+C18+C48+C58+C38</f>
        <v>8732448</v>
      </c>
      <c r="D75" s="223">
        <f>D73+D68+D53+D43+D33+D23+D13+D28+D63+D18+D48+D58+D38</f>
        <v>377677.56</v>
      </c>
      <c r="E75" s="223">
        <f>E73+E68+E53+E43+E33+E23+E13+E28+E63+E18+E48+E58+E38</f>
        <v>994529.39999999991</v>
      </c>
      <c r="F75" s="176">
        <f>+(D75-E75)/E75</f>
        <v>-0.62024495203460039</v>
      </c>
      <c r="G75" s="236">
        <f>D75/C75</f>
        <v>4.3249906555412637E-2</v>
      </c>
      <c r="H75" s="237">
        <f>1-G75</f>
        <v>0.95675009344458739</v>
      </c>
    </row>
    <row r="76" spans="1:8" ht="17.25" thickTop="1" thickBot="1" x14ac:dyDescent="0.3">
      <c r="A76" s="184"/>
      <c r="B76" s="155"/>
      <c r="C76" s="223"/>
      <c r="D76" s="223"/>
      <c r="E76" s="223"/>
      <c r="F76" s="170"/>
      <c r="G76" s="236"/>
      <c r="H76" s="237"/>
    </row>
    <row r="77" spans="1:8" ht="17.25" thickTop="1" thickBot="1" x14ac:dyDescent="0.3">
      <c r="A77" s="184" t="s">
        <v>39</v>
      </c>
      <c r="B77" s="155"/>
      <c r="C77" s="223">
        <f>+C11+C16+C21+C26+C31+C36+C41+C46+C51+C56+C61+C66+C71</f>
        <v>4810863</v>
      </c>
      <c r="D77" s="223">
        <f>+D11+D16+D21+D26+D31+D36+D41+D46+D51+D56+D61+D66+D71</f>
        <v>198288.36</v>
      </c>
      <c r="E77" s="223">
        <f>+E11+E16+E21+E26+E31+E36+E41+E46+E51+E56+E61+E66+E71</f>
        <v>524987.96</v>
      </c>
      <c r="F77" s="176">
        <f>+(D77-E77)/E77</f>
        <v>-0.62229922377648428</v>
      </c>
      <c r="G77" s="236">
        <f>D77/C77</f>
        <v>4.1216796238013845E-2</v>
      </c>
      <c r="H77" s="246">
        <f>1-G77</f>
        <v>0.95878320376198611</v>
      </c>
    </row>
    <row r="78" spans="1:8" ht="16.5" thickTop="1" x14ac:dyDescent="0.25">
      <c r="A78" s="185"/>
      <c r="B78" s="186"/>
      <c r="C78" s="231"/>
      <c r="D78" s="231"/>
      <c r="E78" s="231"/>
      <c r="F78" s="187"/>
      <c r="G78" s="250"/>
      <c r="H78" s="250"/>
    </row>
    <row r="79" spans="1:8" ht="18.75" x14ac:dyDescent="0.3">
      <c r="A79" s="188" t="s">
        <v>49</v>
      </c>
      <c r="B79" s="189"/>
      <c r="C79" s="232"/>
      <c r="D79" s="232"/>
      <c r="E79" s="232"/>
      <c r="F79" s="190"/>
      <c r="G79" s="251"/>
      <c r="H79" s="251"/>
    </row>
    <row r="80" spans="1:8" ht="15.75" x14ac:dyDescent="0.25">
      <c r="A80" s="191"/>
      <c r="B80" s="189"/>
      <c r="C80" s="232"/>
      <c r="D80" s="232"/>
      <c r="E80" s="232"/>
      <c r="F80" s="190"/>
      <c r="G80" s="257"/>
      <c r="H80" s="257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41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42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78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73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43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44</v>
      </c>
      <c r="D7" s="223" t="s">
        <v>31</v>
      </c>
      <c r="E7" s="223" t="s">
        <v>3</v>
      </c>
      <c r="F7" s="156"/>
      <c r="G7" s="236" t="s">
        <v>32</v>
      </c>
      <c r="H7" s="253" t="s">
        <v>32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45</v>
      </c>
      <c r="D8" s="224" t="s">
        <v>46</v>
      </c>
      <c r="E8" s="224" t="s">
        <v>46</v>
      </c>
      <c r="F8" s="160" t="s">
        <v>8</v>
      </c>
      <c r="G8" s="238" t="s">
        <v>35</v>
      </c>
      <c r="H8" s="254" t="s">
        <v>47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36</v>
      </c>
      <c r="B10" s="165">
        <f>DATE(23,7,1)</f>
        <v>8583</v>
      </c>
      <c r="C10" s="226">
        <v>130294533.33</v>
      </c>
      <c r="D10" s="226">
        <v>12225071.779999999</v>
      </c>
      <c r="E10" s="226">
        <v>12857023.68</v>
      </c>
      <c r="F10" s="166">
        <f>(+D10-E10)/E10</f>
        <v>-4.915227005321969E-2</v>
      </c>
      <c r="G10" s="241">
        <f>D10/C10</f>
        <v>9.3826436670503097E-2</v>
      </c>
      <c r="H10" s="242">
        <f>1-G10</f>
        <v>0.90617356332949694</v>
      </c>
      <c r="I10" s="157"/>
    </row>
    <row r="11" spans="1:9" ht="15.75" x14ac:dyDescent="0.25">
      <c r="A11" s="164"/>
      <c r="B11" s="165">
        <f>DATE(23,8,1)</f>
        <v>8614</v>
      </c>
      <c r="C11" s="226">
        <v>121966832.73999999</v>
      </c>
      <c r="D11" s="226">
        <v>11145204.02</v>
      </c>
      <c r="E11" s="226">
        <v>11827521.810000001</v>
      </c>
      <c r="F11" s="166">
        <f>(+D11-E11)/E11</f>
        <v>-5.7688990217977111E-2</v>
      </c>
      <c r="G11" s="241">
        <f>D11/C11</f>
        <v>9.1378973853970064E-2</v>
      </c>
      <c r="H11" s="242">
        <f>1-G11</f>
        <v>0.90862102614602991</v>
      </c>
      <c r="I11" s="157"/>
    </row>
    <row r="12" spans="1:9" ht="15.75" thickBot="1" x14ac:dyDescent="0.25">
      <c r="A12" s="167"/>
      <c r="B12" s="168"/>
      <c r="C12" s="226"/>
      <c r="D12" s="226"/>
      <c r="E12" s="226"/>
      <c r="F12" s="166"/>
      <c r="G12" s="241"/>
      <c r="H12" s="242"/>
      <c r="I12" s="157"/>
    </row>
    <row r="13" spans="1:9" ht="17.25" thickTop="1" thickBot="1" x14ac:dyDescent="0.3">
      <c r="A13" s="169" t="s">
        <v>14</v>
      </c>
      <c r="B13" s="155"/>
      <c r="C13" s="223">
        <f>SUM(C10:C12)</f>
        <v>252261366.06999999</v>
      </c>
      <c r="D13" s="223">
        <f>SUM(D10:D12)</f>
        <v>23370275.799999997</v>
      </c>
      <c r="E13" s="223">
        <f>SUM(E10:E12)</f>
        <v>24684545.490000002</v>
      </c>
      <c r="F13" s="170">
        <f>(+D13-E13)/E13</f>
        <v>-5.3242612489358215E-2</v>
      </c>
      <c r="G13" s="236">
        <f>D13/C13</f>
        <v>9.2643103318147346E-2</v>
      </c>
      <c r="H13" s="237">
        <f>1-G13</f>
        <v>0.9073568966818526</v>
      </c>
      <c r="I13" s="157"/>
    </row>
    <row r="14" spans="1:9" ht="15.75" thickTop="1" x14ac:dyDescent="0.2">
      <c r="A14" s="171"/>
      <c r="B14" s="172"/>
      <c r="C14" s="227"/>
      <c r="D14" s="227"/>
      <c r="E14" s="227"/>
      <c r="F14" s="173"/>
      <c r="G14" s="243"/>
      <c r="H14" s="244"/>
      <c r="I14" s="157"/>
    </row>
    <row r="15" spans="1:9" ht="15.75" x14ac:dyDescent="0.25">
      <c r="A15" s="19" t="s">
        <v>48</v>
      </c>
      <c r="B15" s="165">
        <f>DATE(23,7,1)</f>
        <v>8583</v>
      </c>
      <c r="C15" s="226">
        <v>75800127.310000002</v>
      </c>
      <c r="D15" s="226">
        <v>7585441.2699999996</v>
      </c>
      <c r="E15" s="226">
        <v>7757914.71</v>
      </c>
      <c r="F15" s="166">
        <f>(+D15-E15)/E15</f>
        <v>-2.2231932993241221E-2</v>
      </c>
      <c r="G15" s="241">
        <f>D15/C15</f>
        <v>0.10007161648921509</v>
      </c>
      <c r="H15" s="242">
        <f>1-G15</f>
        <v>0.89992838351078497</v>
      </c>
      <c r="I15" s="157"/>
    </row>
    <row r="16" spans="1:9" ht="15.75" x14ac:dyDescent="0.25">
      <c r="A16" s="19"/>
      <c r="B16" s="165">
        <f>DATE(23,8,1)</f>
        <v>8614</v>
      </c>
      <c r="C16" s="226">
        <v>70452827.459999993</v>
      </c>
      <c r="D16" s="226">
        <v>7113779.0899999999</v>
      </c>
      <c r="E16" s="226">
        <v>6870200.0300000003</v>
      </c>
      <c r="F16" s="166">
        <f>(+D16-E16)/E16</f>
        <v>3.5454434941685327E-2</v>
      </c>
      <c r="G16" s="241">
        <f>D16/C16</f>
        <v>0.10097222988018316</v>
      </c>
      <c r="H16" s="242">
        <f>1-G16</f>
        <v>0.89902777011981683</v>
      </c>
      <c r="I16" s="157"/>
    </row>
    <row r="17" spans="1:9" ht="15.75" thickBot="1" x14ac:dyDescent="0.25">
      <c r="A17" s="167"/>
      <c r="B17" s="165"/>
      <c r="C17" s="226"/>
      <c r="D17" s="226"/>
      <c r="E17" s="226"/>
      <c r="F17" s="166"/>
      <c r="G17" s="241"/>
      <c r="H17" s="242"/>
      <c r="I17" s="157"/>
    </row>
    <row r="18" spans="1:9" ht="17.25" thickTop="1" thickBot="1" x14ac:dyDescent="0.3">
      <c r="A18" s="169" t="s">
        <v>14</v>
      </c>
      <c r="B18" s="155"/>
      <c r="C18" s="223">
        <f>SUM(C15:C17)</f>
        <v>146252954.76999998</v>
      </c>
      <c r="D18" s="223">
        <f>SUM(D15:D17)</f>
        <v>14699220.359999999</v>
      </c>
      <c r="E18" s="223">
        <f>SUM(E15:E17)</f>
        <v>14628114.74</v>
      </c>
      <c r="F18" s="170">
        <f>(+D18-E18)/E18</f>
        <v>4.8608874939682885E-3</v>
      </c>
      <c r="G18" s="236">
        <f>D18/C18</f>
        <v>0.10050545907339963</v>
      </c>
      <c r="H18" s="237">
        <f>1-G18</f>
        <v>0.89949454092660042</v>
      </c>
      <c r="I18" s="157"/>
    </row>
    <row r="19" spans="1:9" ht="15.75" thickTop="1" x14ac:dyDescent="0.2">
      <c r="A19" s="171"/>
      <c r="B19" s="172"/>
      <c r="C19" s="227"/>
      <c r="D19" s="227"/>
      <c r="E19" s="227"/>
      <c r="F19" s="173"/>
      <c r="G19" s="243"/>
      <c r="H19" s="244"/>
      <c r="I19" s="157"/>
    </row>
    <row r="20" spans="1:9" ht="15.75" x14ac:dyDescent="0.25">
      <c r="A20" s="19" t="s">
        <v>62</v>
      </c>
      <c r="B20" s="165">
        <f>DATE(23,7,1)</f>
        <v>8583</v>
      </c>
      <c r="C20" s="226">
        <v>37126873.899999999</v>
      </c>
      <c r="D20" s="226">
        <v>3728602.99</v>
      </c>
      <c r="E20" s="226">
        <v>3537425.2</v>
      </c>
      <c r="F20" s="166">
        <f>(+D20-E20)/E20</f>
        <v>5.4044334280199065E-2</v>
      </c>
      <c r="G20" s="241">
        <f>D20/C20</f>
        <v>0.10042868139242933</v>
      </c>
      <c r="H20" s="242">
        <f>1-G20</f>
        <v>0.89957131860757067</v>
      </c>
      <c r="I20" s="157"/>
    </row>
    <row r="21" spans="1:9" ht="15.75" x14ac:dyDescent="0.25">
      <c r="A21" s="19"/>
      <c r="B21" s="165">
        <f>DATE(23,8,1)</f>
        <v>8614</v>
      </c>
      <c r="C21" s="226">
        <v>33173547.440000001</v>
      </c>
      <c r="D21" s="226">
        <v>3492885.71</v>
      </c>
      <c r="E21" s="226">
        <v>3224518.01</v>
      </c>
      <c r="F21" s="166">
        <f>(+D21-E21)/E21</f>
        <v>8.3227229361947402E-2</v>
      </c>
      <c r="G21" s="241">
        <f>D21/C21</f>
        <v>0.10529129320032708</v>
      </c>
      <c r="H21" s="242">
        <f>1-G21</f>
        <v>0.89470870679967296</v>
      </c>
      <c r="I21" s="157"/>
    </row>
    <row r="22" spans="1:9" ht="15.75" thickBot="1" x14ac:dyDescent="0.25">
      <c r="A22" s="167"/>
      <c r="B22" s="165"/>
      <c r="C22" s="226"/>
      <c r="D22" s="226"/>
      <c r="E22" s="226"/>
      <c r="F22" s="166"/>
      <c r="G22" s="241"/>
      <c r="H22" s="242"/>
      <c r="I22" s="157"/>
    </row>
    <row r="23" spans="1:9" ht="17.25" thickTop="1" thickBot="1" x14ac:dyDescent="0.3">
      <c r="A23" s="174" t="s">
        <v>14</v>
      </c>
      <c r="B23" s="175"/>
      <c r="C23" s="228">
        <f>SUM(C20:C22)</f>
        <v>70300421.340000004</v>
      </c>
      <c r="D23" s="228">
        <f>SUM(D20:D22)</f>
        <v>7221488.7000000002</v>
      </c>
      <c r="E23" s="228">
        <f>SUM(E20:E22)</f>
        <v>6761943.21</v>
      </c>
      <c r="F23" s="176">
        <f>(+D23-E23)/E23</f>
        <v>6.7960566323655977E-2</v>
      </c>
      <c r="G23" s="245">
        <f>D23/C23</f>
        <v>0.1027232634221933</v>
      </c>
      <c r="H23" s="246">
        <f>1-G23</f>
        <v>0.89727673657780671</v>
      </c>
      <c r="I23" s="157"/>
    </row>
    <row r="24" spans="1:9" ht="15.75" thickTop="1" x14ac:dyDescent="0.2">
      <c r="A24" s="167"/>
      <c r="B24" s="168"/>
      <c r="C24" s="226"/>
      <c r="D24" s="226"/>
      <c r="E24" s="226"/>
      <c r="F24" s="166"/>
      <c r="G24" s="241"/>
      <c r="H24" s="242"/>
      <c r="I24" s="157"/>
    </row>
    <row r="25" spans="1:9" ht="15.75" x14ac:dyDescent="0.25">
      <c r="A25" s="177" t="s">
        <v>58</v>
      </c>
      <c r="B25" s="165">
        <f>DATE(23,7,1)</f>
        <v>8583</v>
      </c>
      <c r="C25" s="226">
        <v>203652069.36000001</v>
      </c>
      <c r="D25" s="226">
        <v>18456668.579999998</v>
      </c>
      <c r="E25" s="226">
        <v>17880290.199999999</v>
      </c>
      <c r="F25" s="166">
        <f>(+D25-E25)/E25</f>
        <v>3.2235404098754444E-2</v>
      </c>
      <c r="G25" s="241">
        <f>D25/C25</f>
        <v>9.0628436224597153E-2</v>
      </c>
      <c r="H25" s="242">
        <f>1-G25</f>
        <v>0.90937156377540285</v>
      </c>
      <c r="I25" s="157"/>
    </row>
    <row r="26" spans="1:9" ht="15.75" x14ac:dyDescent="0.25">
      <c r="A26" s="177"/>
      <c r="B26" s="165">
        <f>DATE(23,8,1)</f>
        <v>8614</v>
      </c>
      <c r="C26" s="226">
        <v>191963973.33000001</v>
      </c>
      <c r="D26" s="226">
        <v>17397451.300000001</v>
      </c>
      <c r="E26" s="226">
        <v>17060867.379999999</v>
      </c>
      <c r="F26" s="166">
        <f>(+D26-E26)/E26</f>
        <v>1.9728417817406526E-2</v>
      </c>
      <c r="G26" s="241">
        <f>D26/C26</f>
        <v>9.0628730996792389E-2</v>
      </c>
      <c r="H26" s="242">
        <f>1-G26</f>
        <v>0.90937126900320764</v>
      </c>
      <c r="I26" s="157"/>
    </row>
    <row r="27" spans="1:9" ht="15.75" thickBot="1" x14ac:dyDescent="0.25">
      <c r="A27" s="167"/>
      <c r="B27" s="168"/>
      <c r="C27" s="226"/>
      <c r="D27" s="226"/>
      <c r="E27" s="226"/>
      <c r="F27" s="166"/>
      <c r="G27" s="241"/>
      <c r="H27" s="242"/>
      <c r="I27" s="157"/>
    </row>
    <row r="28" spans="1:9" ht="17.25" thickTop="1" thickBot="1" x14ac:dyDescent="0.3">
      <c r="A28" s="174" t="s">
        <v>14</v>
      </c>
      <c r="B28" s="178"/>
      <c r="C28" s="228">
        <f>SUM(C25:C27)</f>
        <v>395616042.69000006</v>
      </c>
      <c r="D28" s="228">
        <f>SUM(D25:D27)</f>
        <v>35854119.879999995</v>
      </c>
      <c r="E28" s="228">
        <f>SUM(E25:E27)</f>
        <v>34941157.579999998</v>
      </c>
      <c r="F28" s="176">
        <f>(+D28-E28)/E28</f>
        <v>2.6128564799540826E-2</v>
      </c>
      <c r="G28" s="245">
        <f>D28/C28</f>
        <v>9.0628579256314054E-2</v>
      </c>
      <c r="H28" s="246">
        <f>1-G28</f>
        <v>0.90937142074368593</v>
      </c>
      <c r="I28" s="157"/>
    </row>
    <row r="29" spans="1:9" ht="15.75" thickTop="1" x14ac:dyDescent="0.2">
      <c r="A29" s="167"/>
      <c r="B29" s="168"/>
      <c r="C29" s="226"/>
      <c r="D29" s="226"/>
      <c r="E29" s="226"/>
      <c r="F29" s="166"/>
      <c r="G29" s="241"/>
      <c r="H29" s="242"/>
      <c r="I29" s="157"/>
    </row>
    <row r="30" spans="1:9" ht="15.75" x14ac:dyDescent="0.25">
      <c r="A30" s="164" t="s">
        <v>60</v>
      </c>
      <c r="B30" s="165">
        <f>DATE(23,7,1)</f>
        <v>8583</v>
      </c>
      <c r="C30" s="226">
        <v>121881486.05</v>
      </c>
      <c r="D30" s="226">
        <v>12067335.59</v>
      </c>
      <c r="E30" s="226">
        <v>11877741.560000001</v>
      </c>
      <c r="F30" s="166">
        <f>(+D30-E30)/E30</f>
        <v>1.5962127904725964E-2</v>
      </c>
      <c r="G30" s="241">
        <f>D30/C30</f>
        <v>9.9008766475406795E-2</v>
      </c>
      <c r="H30" s="242">
        <f>1-G30</f>
        <v>0.9009912335245932</v>
      </c>
      <c r="I30" s="157"/>
    </row>
    <row r="31" spans="1:9" ht="15.75" x14ac:dyDescent="0.25">
      <c r="A31" s="164"/>
      <c r="B31" s="165">
        <f>DATE(23,8,1)</f>
        <v>8614</v>
      </c>
      <c r="C31" s="226">
        <v>115554383.93000001</v>
      </c>
      <c r="D31" s="226">
        <v>10973674.99</v>
      </c>
      <c r="E31" s="226">
        <v>11399779.33</v>
      </c>
      <c r="F31" s="166">
        <f>(+D31-E31)/E31</f>
        <v>-3.7378297216565493E-2</v>
      </c>
      <c r="G31" s="241">
        <f>D31/C31</f>
        <v>9.4965457966939462E-2</v>
      </c>
      <c r="H31" s="242">
        <f>1-G31</f>
        <v>0.90503454203306055</v>
      </c>
      <c r="I31" s="157"/>
    </row>
    <row r="32" spans="1:9" ht="15.75" thickBot="1" x14ac:dyDescent="0.25">
      <c r="A32" s="167"/>
      <c r="B32" s="165"/>
      <c r="C32" s="226"/>
      <c r="D32" s="226"/>
      <c r="E32" s="226"/>
      <c r="F32" s="166"/>
      <c r="G32" s="241"/>
      <c r="H32" s="242"/>
      <c r="I32" s="157"/>
    </row>
    <row r="33" spans="1:9" ht="17.25" thickTop="1" thickBot="1" x14ac:dyDescent="0.3">
      <c r="A33" s="174" t="s">
        <v>14</v>
      </c>
      <c r="B33" s="175"/>
      <c r="C33" s="228">
        <f>SUM(C30:C32)</f>
        <v>237435869.98000002</v>
      </c>
      <c r="D33" s="230">
        <f>SUM(D30:D32)</f>
        <v>23041010.579999998</v>
      </c>
      <c r="E33" s="271">
        <f>SUM(E30:E32)</f>
        <v>23277520.890000001</v>
      </c>
      <c r="F33" s="272">
        <f>(+D33-E33)/E33</f>
        <v>-1.0160459574610755E-2</v>
      </c>
      <c r="G33" s="249">
        <f>D33/C33</f>
        <v>9.7040984506430367E-2</v>
      </c>
      <c r="H33" s="270">
        <f>1-G33</f>
        <v>0.90295901549356961</v>
      </c>
      <c r="I33" s="157"/>
    </row>
    <row r="34" spans="1:9" ht="15.75" thickTop="1" x14ac:dyDescent="0.2">
      <c r="A34" s="167"/>
      <c r="B34" s="168"/>
      <c r="C34" s="226"/>
      <c r="D34" s="226"/>
      <c r="E34" s="226"/>
      <c r="F34" s="166"/>
      <c r="G34" s="241"/>
      <c r="H34" s="242"/>
      <c r="I34" s="157"/>
    </row>
    <row r="35" spans="1:9" ht="15.75" x14ac:dyDescent="0.25">
      <c r="A35" s="164" t="s">
        <v>64</v>
      </c>
      <c r="B35" s="165">
        <f>DATE(23,7,1)</f>
        <v>8583</v>
      </c>
      <c r="C35" s="226">
        <v>53239780.990000002</v>
      </c>
      <c r="D35" s="226">
        <v>5575819.8300000001</v>
      </c>
      <c r="E35" s="226">
        <v>5559220.0999999996</v>
      </c>
      <c r="F35" s="166">
        <f>(+D35-E35)/E35</f>
        <v>2.9859817926619686E-3</v>
      </c>
      <c r="G35" s="241">
        <f>D35/C35</f>
        <v>0.10473032995848167</v>
      </c>
      <c r="H35" s="242">
        <f>1-G35</f>
        <v>0.89526967004151836</v>
      </c>
      <c r="I35" s="157"/>
    </row>
    <row r="36" spans="1:9" ht="15.75" x14ac:dyDescent="0.25">
      <c r="A36" s="164"/>
      <c r="B36" s="165">
        <f>DATE(23,8,1)</f>
        <v>8614</v>
      </c>
      <c r="C36" s="226">
        <v>49967048.579999998</v>
      </c>
      <c r="D36" s="226">
        <v>5122977.68</v>
      </c>
      <c r="E36" s="226">
        <v>4834999.09</v>
      </c>
      <c r="F36" s="166">
        <f>(+D36-E36)/E36</f>
        <v>5.9561250093223876E-2</v>
      </c>
      <c r="G36" s="241">
        <f>D36/C36</f>
        <v>0.10252712188509254</v>
      </c>
      <c r="H36" s="242">
        <f>1-G36</f>
        <v>0.8974728781149075</v>
      </c>
      <c r="I36" s="157"/>
    </row>
    <row r="37" spans="1:9" ht="15.75" thickBot="1" x14ac:dyDescent="0.25">
      <c r="A37" s="167"/>
      <c r="B37" s="165"/>
      <c r="C37" s="226"/>
      <c r="D37" s="226"/>
      <c r="E37" s="226"/>
      <c r="F37" s="166"/>
      <c r="G37" s="241"/>
      <c r="H37" s="242"/>
      <c r="I37" s="157"/>
    </row>
    <row r="38" spans="1:9" ht="17.25" thickTop="1" thickBot="1" x14ac:dyDescent="0.3">
      <c r="A38" s="174" t="s">
        <v>14</v>
      </c>
      <c r="B38" s="175"/>
      <c r="C38" s="228">
        <f>SUM(C35:C37)</f>
        <v>103206829.56999999</v>
      </c>
      <c r="D38" s="230">
        <f>SUM(D35:D37)</f>
        <v>10698797.51</v>
      </c>
      <c r="E38" s="271">
        <f>SUM(E35:E37)</f>
        <v>10394219.189999999</v>
      </c>
      <c r="F38" s="272">
        <f>(+D38-E38)/E38</f>
        <v>2.930266472473728E-2</v>
      </c>
      <c r="G38" s="249">
        <f>D38/C38</f>
        <v>0.10366365825377423</v>
      </c>
      <c r="H38" s="270">
        <f>1-G38</f>
        <v>0.89633634174622578</v>
      </c>
      <c r="I38" s="157"/>
    </row>
    <row r="39" spans="1:9" ht="15.75" thickTop="1" x14ac:dyDescent="0.2">
      <c r="A39" s="167"/>
      <c r="B39" s="168"/>
      <c r="C39" s="226"/>
      <c r="D39" s="226"/>
      <c r="E39" s="226"/>
      <c r="F39" s="166"/>
      <c r="G39" s="241"/>
      <c r="H39" s="242"/>
      <c r="I39" s="157"/>
    </row>
    <row r="40" spans="1:9" ht="15.75" x14ac:dyDescent="0.25">
      <c r="A40" s="290" t="s">
        <v>67</v>
      </c>
      <c r="B40" s="165">
        <f>DATE(23,7,1)</f>
        <v>8583</v>
      </c>
      <c r="C40" s="226">
        <v>89298695.370000005</v>
      </c>
      <c r="D40" s="226">
        <v>9977929.8800000008</v>
      </c>
      <c r="E40" s="226">
        <v>9654928.8200000003</v>
      </c>
      <c r="F40" s="166">
        <f>(+D40-E40)/E40</f>
        <v>3.3454525250451353E-2</v>
      </c>
      <c r="G40" s="241">
        <f>D40/C40</f>
        <v>0.11173656948354586</v>
      </c>
      <c r="H40" s="242">
        <f>1-G40</f>
        <v>0.88826343051645418</v>
      </c>
      <c r="I40" s="157"/>
    </row>
    <row r="41" spans="1:9" ht="15.75" x14ac:dyDescent="0.25">
      <c r="A41" s="290"/>
      <c r="B41" s="165">
        <f>DATE(23,8,1)</f>
        <v>8614</v>
      </c>
      <c r="C41" s="226">
        <v>89627706.310000002</v>
      </c>
      <c r="D41" s="226">
        <v>9956027.6600000001</v>
      </c>
      <c r="E41" s="226">
        <v>9270730.9700000007</v>
      </c>
      <c r="F41" s="166">
        <f>(+D41-E41)/E41</f>
        <v>7.3920459154473706E-2</v>
      </c>
      <c r="G41" s="241">
        <f>D41/C41</f>
        <v>0.11108203110279952</v>
      </c>
      <c r="H41" s="242">
        <f>1-G41</f>
        <v>0.88891796889720043</v>
      </c>
      <c r="I41" s="157"/>
    </row>
    <row r="42" spans="1:9" ht="15.75" thickBot="1" x14ac:dyDescent="0.25">
      <c r="A42" s="167"/>
      <c r="B42" s="165"/>
      <c r="C42" s="226"/>
      <c r="D42" s="226"/>
      <c r="E42" s="226"/>
      <c r="F42" s="166"/>
      <c r="G42" s="241"/>
      <c r="H42" s="242"/>
      <c r="I42" s="157"/>
    </row>
    <row r="43" spans="1:9" ht="17.25" thickTop="1" thickBot="1" x14ac:dyDescent="0.3">
      <c r="A43" s="174" t="s">
        <v>14</v>
      </c>
      <c r="B43" s="175"/>
      <c r="C43" s="228">
        <f>SUM(C40:C42)</f>
        <v>178926401.68000001</v>
      </c>
      <c r="D43" s="230">
        <f>SUM(D40:D42)</f>
        <v>19933957.539999999</v>
      </c>
      <c r="E43" s="271">
        <f>SUM(E40:E42)</f>
        <v>18925659.789999999</v>
      </c>
      <c r="F43" s="272">
        <f>(+D43-E43)/E43</f>
        <v>5.3276755536563518E-2</v>
      </c>
      <c r="G43" s="249">
        <f>D43/C43</f>
        <v>0.11140869850862357</v>
      </c>
      <c r="H43" s="270">
        <f>1-G43</f>
        <v>0.88859130149137644</v>
      </c>
      <c r="I43" s="157"/>
    </row>
    <row r="44" spans="1:9" ht="15.75" thickTop="1" x14ac:dyDescent="0.2">
      <c r="A44" s="167"/>
      <c r="B44" s="168"/>
      <c r="C44" s="226"/>
      <c r="D44" s="226"/>
      <c r="E44" s="226"/>
      <c r="F44" s="166"/>
      <c r="G44" s="241"/>
      <c r="H44" s="242"/>
      <c r="I44" s="157"/>
    </row>
    <row r="45" spans="1:9" ht="15.75" x14ac:dyDescent="0.25">
      <c r="A45" s="164" t="s">
        <v>69</v>
      </c>
      <c r="B45" s="165">
        <f>DATE(23,7,1)</f>
        <v>8583</v>
      </c>
      <c r="C45" s="226">
        <v>121213119.26000001</v>
      </c>
      <c r="D45" s="226">
        <v>12329543.52</v>
      </c>
      <c r="E45" s="226">
        <v>11762621.74</v>
      </c>
      <c r="F45" s="166">
        <f>(+D45-E45)/E45</f>
        <v>4.8196889480184822E-2</v>
      </c>
      <c r="G45" s="241">
        <f>D45/C45</f>
        <v>0.10171789650552054</v>
      </c>
      <c r="H45" s="242">
        <f>1-G45</f>
        <v>0.89828210349447946</v>
      </c>
      <c r="I45" s="157"/>
    </row>
    <row r="46" spans="1:9" ht="15.75" x14ac:dyDescent="0.25">
      <c r="A46" s="164"/>
      <c r="B46" s="165">
        <f>DATE(23,8,1)</f>
        <v>8614</v>
      </c>
      <c r="C46" s="226">
        <v>112407031.68000001</v>
      </c>
      <c r="D46" s="226">
        <v>11665095.210000001</v>
      </c>
      <c r="E46" s="226">
        <v>12540537.029999999</v>
      </c>
      <c r="F46" s="166">
        <f>(+D46-E46)/E46</f>
        <v>-6.9808957774753169E-2</v>
      </c>
      <c r="G46" s="241">
        <f>D46/C46</f>
        <v>0.10377549371829477</v>
      </c>
      <c r="H46" s="242">
        <f>1-G46</f>
        <v>0.89622450628170525</v>
      </c>
      <c r="I46" s="157"/>
    </row>
    <row r="47" spans="1:9" ht="15.75" thickBot="1" x14ac:dyDescent="0.25">
      <c r="A47" s="167"/>
      <c r="B47" s="165"/>
      <c r="C47" s="226"/>
      <c r="D47" s="226"/>
      <c r="E47" s="226"/>
      <c r="F47" s="166"/>
      <c r="G47" s="241"/>
      <c r="H47" s="242"/>
      <c r="I47" s="157"/>
    </row>
    <row r="48" spans="1:9" ht="17.25" thickTop="1" thickBot="1" x14ac:dyDescent="0.3">
      <c r="A48" s="174" t="s">
        <v>14</v>
      </c>
      <c r="B48" s="175"/>
      <c r="C48" s="228">
        <f>SUM(C45:C47)</f>
        <v>233620150.94</v>
      </c>
      <c r="D48" s="230">
        <f>SUM(D45:D47)</f>
        <v>23994638.73</v>
      </c>
      <c r="E48" s="271">
        <f>SUM(E45:E47)</f>
        <v>24303158.77</v>
      </c>
      <c r="F48" s="176">
        <f>(+D48-E48)/E48</f>
        <v>-1.2694647758333314E-2</v>
      </c>
      <c r="G48" s="249">
        <f>D48/C48</f>
        <v>0.10270791553491666</v>
      </c>
      <c r="H48" s="270">
        <f>1-G48</f>
        <v>0.89729208446508335</v>
      </c>
      <c r="I48" s="157"/>
    </row>
    <row r="49" spans="1:9" ht="15.75" thickTop="1" x14ac:dyDescent="0.2">
      <c r="A49" s="167"/>
      <c r="B49" s="179"/>
      <c r="C49" s="229"/>
      <c r="D49" s="229"/>
      <c r="E49" s="229"/>
      <c r="F49" s="180"/>
      <c r="G49" s="247"/>
      <c r="H49" s="248"/>
      <c r="I49" s="157"/>
    </row>
    <row r="50" spans="1:9" ht="15.75" x14ac:dyDescent="0.25">
      <c r="A50" s="164" t="s">
        <v>16</v>
      </c>
      <c r="B50" s="165">
        <f>DATE(23,7,1)</f>
        <v>8583</v>
      </c>
      <c r="C50" s="226">
        <v>160295640.59</v>
      </c>
      <c r="D50" s="226">
        <v>15534932.51</v>
      </c>
      <c r="E50" s="226">
        <v>15914314.48</v>
      </c>
      <c r="F50" s="166">
        <f>(+D50-E50)/E50</f>
        <v>-2.383903940548501E-2</v>
      </c>
      <c r="G50" s="241">
        <f>D50/C50</f>
        <v>9.691425451634611E-2</v>
      </c>
      <c r="H50" s="242">
        <f>1-G50</f>
        <v>0.90308574548365383</v>
      </c>
      <c r="I50" s="157"/>
    </row>
    <row r="51" spans="1:9" ht="15.75" x14ac:dyDescent="0.25">
      <c r="A51" s="164"/>
      <c r="B51" s="165">
        <f>DATE(23,8,1)</f>
        <v>8614</v>
      </c>
      <c r="C51" s="226">
        <v>147156061.50999999</v>
      </c>
      <c r="D51" s="226">
        <v>14573354.48</v>
      </c>
      <c r="E51" s="226">
        <v>14340389.18</v>
      </c>
      <c r="F51" s="166">
        <f>(+D51-E51)/E51</f>
        <v>1.6245395928648064E-2</v>
      </c>
      <c r="G51" s="241">
        <f>D51/C51</f>
        <v>9.9033327818505587E-2</v>
      </c>
      <c r="H51" s="242">
        <f>1-G51</f>
        <v>0.9009666721814944</v>
      </c>
      <c r="I51" s="157"/>
    </row>
    <row r="52" spans="1:9" ht="15.75" customHeight="1" thickBot="1" x14ac:dyDescent="0.3">
      <c r="A52" s="164"/>
      <c r="B52" s="165"/>
      <c r="C52" s="226"/>
      <c r="D52" s="226"/>
      <c r="E52" s="226"/>
      <c r="F52" s="166"/>
      <c r="G52" s="241"/>
      <c r="H52" s="242"/>
      <c r="I52" s="157"/>
    </row>
    <row r="53" spans="1:9" ht="17.25" thickTop="1" thickBot="1" x14ac:dyDescent="0.3">
      <c r="A53" s="174" t="s">
        <v>14</v>
      </c>
      <c r="B53" s="181"/>
      <c r="C53" s="228">
        <f>SUM(C50:C52)</f>
        <v>307451702.10000002</v>
      </c>
      <c r="D53" s="228">
        <f>SUM(D50:D52)</f>
        <v>30108286.990000002</v>
      </c>
      <c r="E53" s="228">
        <f>SUM(E50:E52)</f>
        <v>30254703.66</v>
      </c>
      <c r="F53" s="176">
        <f>(+D53-E53)/E53</f>
        <v>-4.8394679929910133E-3</v>
      </c>
      <c r="G53" s="245">
        <f>D53/C53</f>
        <v>9.7928509695507066E-2</v>
      </c>
      <c r="H53" s="246">
        <f>1-G53</f>
        <v>0.90207149030449296</v>
      </c>
      <c r="I53" s="157"/>
    </row>
    <row r="54" spans="1:9" ht="15.75" thickTop="1" x14ac:dyDescent="0.2">
      <c r="A54" s="171"/>
      <c r="B54" s="172"/>
      <c r="C54" s="227"/>
      <c r="D54" s="227"/>
      <c r="E54" s="227"/>
      <c r="F54" s="173"/>
      <c r="G54" s="243"/>
      <c r="H54" s="244"/>
      <c r="I54" s="157"/>
    </row>
    <row r="55" spans="1:9" ht="15.75" x14ac:dyDescent="0.25">
      <c r="A55" s="164" t="s">
        <v>53</v>
      </c>
      <c r="B55" s="165">
        <f>DATE(23,7,1)</f>
        <v>8583</v>
      </c>
      <c r="C55" s="226">
        <v>214046132.72999999</v>
      </c>
      <c r="D55" s="226">
        <v>19538214.289999999</v>
      </c>
      <c r="E55" s="226">
        <v>19656587.449999999</v>
      </c>
      <c r="F55" s="166">
        <f>(+D55-E55)/E55</f>
        <v>-6.022060558634767E-3</v>
      </c>
      <c r="G55" s="241">
        <f>D55/C55</f>
        <v>9.1280389142305629E-2</v>
      </c>
      <c r="H55" s="242">
        <f>1-G55</f>
        <v>0.90871961085769437</v>
      </c>
      <c r="I55" s="157"/>
    </row>
    <row r="56" spans="1:9" ht="15.75" x14ac:dyDescent="0.25">
      <c r="A56" s="164"/>
      <c r="B56" s="165">
        <f>DATE(23,8,1)</f>
        <v>8614</v>
      </c>
      <c r="C56" s="226">
        <v>203623905.31</v>
      </c>
      <c r="D56" s="226">
        <v>18436883.300000001</v>
      </c>
      <c r="E56" s="226">
        <v>17776767.91</v>
      </c>
      <c r="F56" s="166">
        <f>(+D56-E56)/E56</f>
        <v>3.7133600063972518E-2</v>
      </c>
      <c r="G56" s="241">
        <f>D56/C56</f>
        <v>9.0543805610306019E-2</v>
      </c>
      <c r="H56" s="242">
        <f>1-G56</f>
        <v>0.90945619438969394</v>
      </c>
      <c r="I56" s="157"/>
    </row>
    <row r="57" spans="1:9" ht="15.75" thickBot="1" x14ac:dyDescent="0.25">
      <c r="A57" s="167"/>
      <c r="B57" s="168"/>
      <c r="C57" s="226"/>
      <c r="D57" s="226"/>
      <c r="E57" s="226"/>
      <c r="F57" s="166"/>
      <c r="G57" s="241"/>
      <c r="H57" s="242"/>
      <c r="I57" s="157"/>
    </row>
    <row r="58" spans="1:9" ht="17.25" thickTop="1" thickBot="1" x14ac:dyDescent="0.3">
      <c r="A58" s="174" t="s">
        <v>14</v>
      </c>
      <c r="B58" s="175"/>
      <c r="C58" s="228">
        <f>SUM(C55:C57)</f>
        <v>417670038.03999996</v>
      </c>
      <c r="D58" s="228">
        <f>SUM(D55:D57)</f>
        <v>37975097.590000004</v>
      </c>
      <c r="E58" s="228">
        <f>SUM(E55:E57)</f>
        <v>37433355.359999999</v>
      </c>
      <c r="F58" s="176">
        <f>(+D58-E58)/E58</f>
        <v>1.447217928475873E-2</v>
      </c>
      <c r="G58" s="249">
        <f>D58/C58</f>
        <v>9.0921287455058383E-2</v>
      </c>
      <c r="H58" s="270">
        <f>1-G58</f>
        <v>0.90907871254494166</v>
      </c>
      <c r="I58" s="157"/>
    </row>
    <row r="59" spans="1:9" ht="15.75" thickTop="1" x14ac:dyDescent="0.2">
      <c r="A59" s="167"/>
      <c r="B59" s="168"/>
      <c r="C59" s="226"/>
      <c r="D59" s="226"/>
      <c r="E59" s="226"/>
      <c r="F59" s="166"/>
      <c r="G59" s="241"/>
      <c r="H59" s="242"/>
      <c r="I59" s="157"/>
    </row>
    <row r="60" spans="1:9" ht="15.75" x14ac:dyDescent="0.25">
      <c r="A60" s="164" t="s">
        <v>54</v>
      </c>
      <c r="B60" s="165">
        <f>DATE(23,7,1)</f>
        <v>8583</v>
      </c>
      <c r="C60" s="226">
        <v>28158647.050000001</v>
      </c>
      <c r="D60" s="226">
        <v>3124210.48</v>
      </c>
      <c r="E60" s="226">
        <v>3220140.18</v>
      </c>
      <c r="F60" s="166">
        <f>(+D60-E60)/E60</f>
        <v>-2.9790535392158046E-2</v>
      </c>
      <c r="G60" s="241">
        <f>D60/C60</f>
        <v>0.11095030505025631</v>
      </c>
      <c r="H60" s="242">
        <f>1-G60</f>
        <v>0.88904969494974373</v>
      </c>
      <c r="I60" s="157"/>
    </row>
    <row r="61" spans="1:9" ht="15.75" x14ac:dyDescent="0.25">
      <c r="A61" s="164"/>
      <c r="B61" s="165">
        <f>DATE(23,8,1)</f>
        <v>8614</v>
      </c>
      <c r="C61" s="226">
        <v>24636212.309999999</v>
      </c>
      <c r="D61" s="226">
        <v>2824739.23</v>
      </c>
      <c r="E61" s="226">
        <v>2910388.06</v>
      </c>
      <c r="F61" s="166">
        <f>(+D61-E61)/E61</f>
        <v>-2.94286632003294E-2</v>
      </c>
      <c r="G61" s="241">
        <f>D61/C61</f>
        <v>0.11465801619404863</v>
      </c>
      <c r="H61" s="242">
        <f>1-G61</f>
        <v>0.88534198380595142</v>
      </c>
      <c r="I61" s="157"/>
    </row>
    <row r="62" spans="1:9" ht="15.75" thickBot="1" x14ac:dyDescent="0.25">
      <c r="A62" s="167"/>
      <c r="B62" s="168"/>
      <c r="C62" s="226"/>
      <c r="D62" s="226"/>
      <c r="E62" s="226"/>
      <c r="F62" s="166"/>
      <c r="G62" s="241"/>
      <c r="H62" s="242"/>
      <c r="I62" s="157"/>
    </row>
    <row r="63" spans="1:9" ht="17.25" thickTop="1" thickBot="1" x14ac:dyDescent="0.3">
      <c r="A63" s="182" t="s">
        <v>14</v>
      </c>
      <c r="B63" s="183"/>
      <c r="C63" s="230">
        <f>SUM(C60:C62)</f>
        <v>52794859.359999999</v>
      </c>
      <c r="D63" s="230">
        <f>SUM(D60:D62)</f>
        <v>5948949.71</v>
      </c>
      <c r="E63" s="230">
        <f>SUM(E60:E62)</f>
        <v>6130528.2400000002</v>
      </c>
      <c r="F63" s="176">
        <f>(+D63-E63)/E63</f>
        <v>-2.9618741304419837E-2</v>
      </c>
      <c r="G63" s="249">
        <f>D63/C63</f>
        <v>0.11268047272244879</v>
      </c>
      <c r="H63" s="246">
        <f>1-G63</f>
        <v>0.88731952727755126</v>
      </c>
      <c r="I63" s="157"/>
    </row>
    <row r="64" spans="1:9" ht="15.75" thickTop="1" x14ac:dyDescent="0.2">
      <c r="A64" s="167"/>
      <c r="B64" s="168"/>
      <c r="C64" s="226"/>
      <c r="D64" s="226"/>
      <c r="E64" s="226"/>
      <c r="F64" s="166"/>
      <c r="G64" s="241"/>
      <c r="H64" s="242"/>
      <c r="I64" s="157"/>
    </row>
    <row r="65" spans="1:9" ht="15.75" x14ac:dyDescent="0.25">
      <c r="A65" s="164" t="s">
        <v>37</v>
      </c>
      <c r="B65" s="165">
        <f>DATE(23,7,1)</f>
        <v>8583</v>
      </c>
      <c r="C65" s="226">
        <v>221709382.90000001</v>
      </c>
      <c r="D65" s="226">
        <v>20800777.710000001</v>
      </c>
      <c r="E65" s="226">
        <v>21735779.219999999</v>
      </c>
      <c r="F65" s="166">
        <f>(+D65-E65)/E65</f>
        <v>-4.3016700737356771E-2</v>
      </c>
      <c r="G65" s="241">
        <f>D65/C65</f>
        <v>9.3820015363905468E-2</v>
      </c>
      <c r="H65" s="242">
        <f>1-G65</f>
        <v>0.9061799846360945</v>
      </c>
      <c r="I65" s="157"/>
    </row>
    <row r="66" spans="1:9" ht="15.75" x14ac:dyDescent="0.25">
      <c r="A66" s="164"/>
      <c r="B66" s="165">
        <f>DATE(23,8,1)</f>
        <v>8614</v>
      </c>
      <c r="C66" s="226">
        <v>209669300.15000001</v>
      </c>
      <c r="D66" s="226">
        <v>20038616.34</v>
      </c>
      <c r="E66" s="226">
        <v>20453352.670000002</v>
      </c>
      <c r="F66" s="166">
        <f>(+D66-E66)/E66</f>
        <v>-2.0277180797274245E-2</v>
      </c>
      <c r="G66" s="241">
        <f>D66/C66</f>
        <v>9.5572486413910501E-2</v>
      </c>
      <c r="H66" s="242">
        <f>1-G66</f>
        <v>0.90442751358608953</v>
      </c>
      <c r="I66" s="157"/>
    </row>
    <row r="67" spans="1:9" ht="15.75" thickBot="1" x14ac:dyDescent="0.25">
      <c r="A67" s="167"/>
      <c r="B67" s="168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5"/>
      <c r="C68" s="228">
        <f>SUM(C65:C67)</f>
        <v>431378683.05000001</v>
      </c>
      <c r="D68" s="228">
        <f>SUM(D65:D67)</f>
        <v>40839394.049999997</v>
      </c>
      <c r="E68" s="228">
        <f>SUM(E65:E67)</f>
        <v>42189131.890000001</v>
      </c>
      <c r="F68" s="176">
        <f>(+D68-E68)/E68</f>
        <v>-3.1992548306497129E-2</v>
      </c>
      <c r="G68" s="245">
        <f>D68/C68</f>
        <v>9.4671794538503898E-2</v>
      </c>
      <c r="H68" s="246">
        <f>1-G68</f>
        <v>0.90532820546149606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57</v>
      </c>
      <c r="B70" s="165">
        <f>DATE(23,7,1)</f>
        <v>8583</v>
      </c>
      <c r="C70" s="226">
        <v>33435275.829999998</v>
      </c>
      <c r="D70" s="226">
        <v>3743935.17</v>
      </c>
      <c r="E70" s="226">
        <v>3941098.7</v>
      </c>
      <c r="F70" s="166">
        <f>(+D70-E70)/E70</f>
        <v>-5.0027554498952347E-2</v>
      </c>
      <c r="G70" s="241">
        <f>D70/C70</f>
        <v>0.11197560292416467</v>
      </c>
      <c r="H70" s="242">
        <f>1-G70</f>
        <v>0.88802439707583536</v>
      </c>
      <c r="I70" s="157"/>
    </row>
    <row r="71" spans="1:9" ht="15.75" x14ac:dyDescent="0.25">
      <c r="A71" s="164"/>
      <c r="B71" s="165">
        <f>DATE(23,8,1)</f>
        <v>8614</v>
      </c>
      <c r="C71" s="226">
        <v>32794629.890000001</v>
      </c>
      <c r="D71" s="226">
        <v>3650833.47</v>
      </c>
      <c r="E71" s="226">
        <v>3508347.49</v>
      </c>
      <c r="F71" s="166">
        <f>(+D71-E71)/E71</f>
        <v>4.0613417116216154E-2</v>
      </c>
      <c r="G71" s="241">
        <f>D71/C71</f>
        <v>0.11132412478035746</v>
      </c>
      <c r="H71" s="242">
        <f>1-G71</f>
        <v>0.88867587521964253</v>
      </c>
      <c r="I71" s="157"/>
    </row>
    <row r="72" spans="1:9" ht="15.75" thickBot="1" x14ac:dyDescent="0.25">
      <c r="A72" s="167"/>
      <c r="B72" s="168"/>
      <c r="C72" s="226"/>
      <c r="D72" s="226"/>
      <c r="E72" s="226"/>
      <c r="F72" s="166"/>
      <c r="G72" s="241"/>
      <c r="H72" s="242"/>
      <c r="I72" s="157"/>
    </row>
    <row r="73" spans="1:9" ht="17.25" thickTop="1" thickBot="1" x14ac:dyDescent="0.3">
      <c r="A73" s="169" t="s">
        <v>14</v>
      </c>
      <c r="B73" s="155"/>
      <c r="C73" s="223">
        <f>SUM(C70:C72)</f>
        <v>66229905.719999999</v>
      </c>
      <c r="D73" s="223">
        <f>SUM(D70:D72)</f>
        <v>7394768.6400000006</v>
      </c>
      <c r="E73" s="223">
        <f>SUM(E70:E72)</f>
        <v>7449446.1900000004</v>
      </c>
      <c r="F73" s="176">
        <f>(+D73-E73)/E73</f>
        <v>-7.3398140754943574E-3</v>
      </c>
      <c r="G73" s="245">
        <f>D73/C73</f>
        <v>0.11165301474628161</v>
      </c>
      <c r="H73" s="246">
        <f>1-G73</f>
        <v>0.88834698525371836</v>
      </c>
      <c r="I73" s="157"/>
    </row>
    <row r="74" spans="1:9" ht="16.5" thickTop="1" thickBot="1" x14ac:dyDescent="0.25">
      <c r="A74" s="171"/>
      <c r="B74" s="172"/>
      <c r="C74" s="227"/>
      <c r="D74" s="227"/>
      <c r="E74" s="227"/>
      <c r="F74" s="173"/>
      <c r="G74" s="243"/>
      <c r="H74" s="244"/>
      <c r="I74" s="157"/>
    </row>
    <row r="75" spans="1:9" ht="17.25" thickTop="1" thickBot="1" x14ac:dyDescent="0.3">
      <c r="A75" s="184" t="s">
        <v>38</v>
      </c>
      <c r="B75" s="155"/>
      <c r="C75" s="223">
        <f>C73+C68+C53+C43+C33+C23+C13+C28+C63+C18+C48+C58+C38</f>
        <v>2893145225.3099999</v>
      </c>
      <c r="D75" s="223">
        <f>D73+D68+D53+D43+D33+D23+D13+D28+D63+D18+D48+D58+D38</f>
        <v>281080006.07999998</v>
      </c>
      <c r="E75" s="223">
        <f>E73+E68+E53+E43+E33+E23+E13+E28+E63+E18+E48+E58+E38</f>
        <v>281373485</v>
      </c>
      <c r="F75" s="170">
        <f>(+D75-E75)/E75</f>
        <v>-1.0430226572344466E-3</v>
      </c>
      <c r="G75" s="236">
        <f>D75/C75</f>
        <v>9.715378392382025E-2</v>
      </c>
      <c r="H75" s="237">
        <f>1-G75</f>
        <v>0.90284621607617976</v>
      </c>
      <c r="I75" s="157"/>
    </row>
    <row r="76" spans="1:9" ht="17.25" thickTop="1" thickBot="1" x14ac:dyDescent="0.3">
      <c r="A76" s="184"/>
      <c r="B76" s="155"/>
      <c r="C76" s="223"/>
      <c r="D76" s="223"/>
      <c r="E76" s="223"/>
      <c r="F76" s="170"/>
      <c r="G76" s="236"/>
      <c r="H76" s="237"/>
      <c r="I76" s="157"/>
    </row>
    <row r="77" spans="1:9" ht="17.25" thickTop="1" thickBot="1" x14ac:dyDescent="0.3">
      <c r="A77" s="184" t="s">
        <v>39</v>
      </c>
      <c r="B77" s="155"/>
      <c r="C77" s="223">
        <f>+C11+C16+C21+C26+C31+C36+C41+C51+C46+C56+C61+C66+C71</f>
        <v>1402993460.6400001</v>
      </c>
      <c r="D77" s="223">
        <f>+D11+D16+D21+D26+D31+D36+D41+D51+D46+D56+D61+D66+D71</f>
        <v>136391522.48000002</v>
      </c>
      <c r="E77" s="223">
        <f>+E11+E16+E21+E26+E31+E36+E41+E51+E46+E56+E61+E66+E71</f>
        <v>136018398.96000001</v>
      </c>
      <c r="F77" s="170">
        <f>(+D77-E77)/E77</f>
        <v>2.7431841784120547E-3</v>
      </c>
      <c r="G77" s="236">
        <f>D77/C77</f>
        <v>9.7214653030373091E-2</v>
      </c>
      <c r="H77" s="246">
        <f>1-G77</f>
        <v>0.90278534696962687</v>
      </c>
      <c r="I77" s="157"/>
    </row>
    <row r="78" spans="1:9" ht="16.5" thickTop="1" x14ac:dyDescent="0.25">
      <c r="A78" s="185"/>
      <c r="B78" s="186"/>
      <c r="C78" s="231"/>
      <c r="D78" s="231"/>
      <c r="E78" s="231"/>
      <c r="F78" s="187"/>
      <c r="G78" s="250"/>
      <c r="H78" s="250"/>
      <c r="I78" s="151"/>
    </row>
    <row r="79" spans="1:9" ht="16.5" customHeight="1" x14ac:dyDescent="0.3">
      <c r="A79" s="188" t="s">
        <v>49</v>
      </c>
      <c r="B79" s="189"/>
      <c r="C79" s="232"/>
      <c r="D79" s="232"/>
      <c r="E79" s="232"/>
      <c r="F79" s="190"/>
      <c r="G79" s="251"/>
      <c r="H79" s="251"/>
      <c r="I79" s="151"/>
    </row>
    <row r="80" spans="1:9" ht="15.75" x14ac:dyDescent="0.25">
      <c r="A80" s="191"/>
      <c r="B80" s="189"/>
      <c r="C80" s="232"/>
      <c r="D80" s="232"/>
      <c r="E80" s="232"/>
      <c r="F80" s="190"/>
      <c r="G80" s="257"/>
      <c r="H80" s="257"/>
      <c r="I80" s="151"/>
    </row>
    <row r="81" spans="1:9" ht="15.75" x14ac:dyDescent="0.25">
      <c r="A81" s="72"/>
      <c r="I81" s="151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2023-09-08T13:59:30Z</cp:lastPrinted>
  <dcterms:created xsi:type="dcterms:W3CDTF">2003-09-09T14:41:43Z</dcterms:created>
  <dcterms:modified xsi:type="dcterms:W3CDTF">2023-09-08T20:12:25Z</dcterms:modified>
</cp:coreProperties>
</file>