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Financials Dec\Optimized\"/>
    </mc:Choice>
  </mc:AlternateContent>
  <bookViews>
    <workbookView xWindow="90" yWindow="150" windowWidth="7530" windowHeight="4050"/>
  </bookViews>
  <sheets>
    <sheet name="MONTHLY STATS" sheetId="1" r:id="rId1"/>
    <sheet name="YTD TAXES" sheetId="2" r:id="rId2"/>
    <sheet name="TABLE STATS" sheetId="3" r:id="rId3"/>
    <sheet name="HYBRID STATS" sheetId="5" r:id="rId4"/>
    <sheet name="SLOT STATS" sheetId="4" r:id="rId5"/>
  </sheets>
  <definedNames>
    <definedName name="_xlnm.Print_Area" localSheetId="0">'MONTHLY STATS'!$A$1:$M$117</definedName>
    <definedName name="_xlnm.Print_Area" localSheetId="4">'SLOT STATS'!$A$1:$I$118</definedName>
    <definedName name="_xlnm.Print_Area" localSheetId="2">'TABLE STATS'!$A$1:$H$117</definedName>
    <definedName name="_xlnm.Print_Titles" localSheetId="3">'HYBRID STATS'!$1:$8</definedName>
    <definedName name="_xlnm.Print_Titles" localSheetId="0">'MONTHLY STATS'!$1:$7</definedName>
    <definedName name="_xlnm.Print_Titles" localSheetId="4">'SLOT STATS'!$1:$8</definedName>
    <definedName name="_xlnm.Print_Titles" localSheetId="2">'TABLE STATS'!$1:$7</definedName>
  </definedNames>
  <calcPr calcId="162913" fullCalcOnLoad="1"/>
</workbook>
</file>

<file path=xl/calcChain.xml><?xml version="1.0" encoding="utf-8"?>
<calcChain xmlns="http://schemas.openxmlformats.org/spreadsheetml/2006/main">
  <c r="A35" i="2" l="1"/>
  <c r="A14" i="2"/>
  <c r="G109" i="1"/>
  <c r="H109" i="1"/>
  <c r="G101" i="1"/>
  <c r="G93" i="1"/>
  <c r="G85" i="1"/>
  <c r="G87" i="1"/>
  <c r="G77" i="1"/>
  <c r="G69" i="1"/>
  <c r="G61" i="1"/>
  <c r="G53" i="1"/>
  <c r="G55" i="1"/>
  <c r="H55" i="1"/>
  <c r="G45" i="1"/>
  <c r="H45" i="1"/>
  <c r="G37" i="1"/>
  <c r="H37" i="1"/>
  <c r="G29" i="1"/>
  <c r="G21" i="1"/>
  <c r="G23" i="1"/>
  <c r="G13" i="1"/>
  <c r="F109" i="1"/>
  <c r="F101" i="1"/>
  <c r="F103" i="1"/>
  <c r="F93" i="1"/>
  <c r="F85" i="1"/>
  <c r="H85" i="1"/>
  <c r="F77" i="1"/>
  <c r="J77" i="1"/>
  <c r="F66" i="1"/>
  <c r="H66" i="1"/>
  <c r="F69" i="1"/>
  <c r="J69" i="1"/>
  <c r="F60" i="1"/>
  <c r="F63" i="1"/>
  <c r="F61" i="1"/>
  <c r="F53" i="1"/>
  <c r="J53" i="1"/>
  <c r="F45" i="1"/>
  <c r="F47" i="1"/>
  <c r="F37" i="1"/>
  <c r="F29" i="1"/>
  <c r="F31" i="1"/>
  <c r="F21" i="1"/>
  <c r="J21" i="1"/>
  <c r="F13" i="1"/>
  <c r="E116" i="4"/>
  <c r="D116" i="4"/>
  <c r="C116" i="4"/>
  <c r="G110" i="4"/>
  <c r="H110" i="4"/>
  <c r="F110" i="4"/>
  <c r="G102" i="4"/>
  <c r="H102" i="4"/>
  <c r="F102" i="4"/>
  <c r="G94" i="4"/>
  <c r="H94" i="4"/>
  <c r="F94" i="4"/>
  <c r="G86" i="4"/>
  <c r="H86" i="4"/>
  <c r="F86" i="4"/>
  <c r="G78" i="4"/>
  <c r="H78" i="4"/>
  <c r="F78" i="4"/>
  <c r="G70" i="4"/>
  <c r="H70" i="4"/>
  <c r="F70" i="4"/>
  <c r="G62" i="4"/>
  <c r="H62" i="4"/>
  <c r="F62" i="4"/>
  <c r="G54" i="4"/>
  <c r="H54" i="4"/>
  <c r="F54" i="4"/>
  <c r="G46" i="4"/>
  <c r="H46" i="4"/>
  <c r="F46" i="4"/>
  <c r="G38" i="4"/>
  <c r="H38" i="4"/>
  <c r="F38" i="4"/>
  <c r="G30" i="4"/>
  <c r="H30" i="4"/>
  <c r="F30" i="4"/>
  <c r="G22" i="4"/>
  <c r="H22" i="4"/>
  <c r="F22" i="4"/>
  <c r="G14" i="4"/>
  <c r="H14" i="4"/>
  <c r="F14" i="4"/>
  <c r="B110" i="4"/>
  <c r="B102" i="4"/>
  <c r="B94" i="4"/>
  <c r="B86" i="4"/>
  <c r="B78" i="4"/>
  <c r="B70" i="4"/>
  <c r="B62" i="4"/>
  <c r="B54" i="4"/>
  <c r="B46" i="4"/>
  <c r="B38" i="4"/>
  <c r="B30" i="4"/>
  <c r="B22" i="4"/>
  <c r="B14" i="4"/>
  <c r="E116" i="5"/>
  <c r="D116" i="5"/>
  <c r="C116" i="5"/>
  <c r="G102" i="5"/>
  <c r="H102" i="5"/>
  <c r="F102" i="5"/>
  <c r="B110" i="5"/>
  <c r="B102" i="5"/>
  <c r="B94" i="5"/>
  <c r="B86" i="5"/>
  <c r="B78" i="5"/>
  <c r="B70" i="5"/>
  <c r="B62" i="5"/>
  <c r="B54" i="5"/>
  <c r="B46" i="5"/>
  <c r="B38" i="5"/>
  <c r="B30" i="5"/>
  <c r="B22" i="5"/>
  <c r="B14" i="5"/>
  <c r="E115" i="3"/>
  <c r="D115" i="3"/>
  <c r="C115" i="3"/>
  <c r="G109" i="3"/>
  <c r="F109" i="3"/>
  <c r="G101" i="3"/>
  <c r="F101" i="3"/>
  <c r="G93" i="3"/>
  <c r="F93" i="3"/>
  <c r="G85" i="3"/>
  <c r="F85" i="3"/>
  <c r="G77" i="3"/>
  <c r="F77" i="3"/>
  <c r="G69" i="3"/>
  <c r="F69" i="3"/>
  <c r="G61" i="3"/>
  <c r="F61" i="3"/>
  <c r="G53" i="3"/>
  <c r="F53" i="3"/>
  <c r="G45" i="3"/>
  <c r="F45" i="3"/>
  <c r="G37" i="3"/>
  <c r="F37" i="3"/>
  <c r="G29" i="3"/>
  <c r="F29" i="3"/>
  <c r="G21" i="3"/>
  <c r="F21" i="3"/>
  <c r="G13" i="3"/>
  <c r="F13" i="3"/>
  <c r="B109" i="3"/>
  <c r="B101" i="3"/>
  <c r="B93" i="3"/>
  <c r="B85" i="3"/>
  <c r="B77" i="3"/>
  <c r="B69" i="3"/>
  <c r="B61" i="3"/>
  <c r="B53" i="3"/>
  <c r="B45" i="3"/>
  <c r="B37" i="3"/>
  <c r="B29" i="3"/>
  <c r="B21" i="3"/>
  <c r="B13" i="3"/>
  <c r="N35" i="2"/>
  <c r="M35" i="2"/>
  <c r="L35" i="2"/>
  <c r="K35" i="2"/>
  <c r="J35" i="2"/>
  <c r="I35" i="2"/>
  <c r="H35" i="2"/>
  <c r="G35" i="2"/>
  <c r="G44" i="2"/>
  <c r="F35" i="2"/>
  <c r="E35" i="2"/>
  <c r="D35" i="2"/>
  <c r="D44" i="2"/>
  <c r="C35" i="2"/>
  <c r="B35" i="2"/>
  <c r="B44" i="2"/>
  <c r="N14" i="2"/>
  <c r="M14" i="2"/>
  <c r="L14" i="2"/>
  <c r="L23" i="2"/>
  <c r="K14" i="2"/>
  <c r="J14" i="2"/>
  <c r="I14" i="2"/>
  <c r="H14" i="2"/>
  <c r="G14" i="2"/>
  <c r="F14" i="2"/>
  <c r="F23" i="2"/>
  <c r="E14" i="2"/>
  <c r="E23" i="2"/>
  <c r="D14" i="2"/>
  <c r="D23" i="2"/>
  <c r="C14" i="2"/>
  <c r="B14" i="2"/>
  <c r="L115" i="1"/>
  <c r="K115" i="1"/>
  <c r="D115" i="1"/>
  <c r="C115" i="1"/>
  <c r="M109" i="1"/>
  <c r="J109" i="1"/>
  <c r="I109" i="1"/>
  <c r="E109" i="1"/>
  <c r="M101" i="1"/>
  <c r="J101" i="1"/>
  <c r="I101" i="1"/>
  <c r="E101" i="1"/>
  <c r="M93" i="1"/>
  <c r="J93" i="1"/>
  <c r="I93" i="1"/>
  <c r="E93" i="1"/>
  <c r="M85" i="1"/>
  <c r="J85" i="1"/>
  <c r="I85" i="1"/>
  <c r="E85" i="1"/>
  <c r="M77" i="1"/>
  <c r="I77" i="1"/>
  <c r="H77" i="1"/>
  <c r="E77" i="1"/>
  <c r="M69" i="1"/>
  <c r="I69" i="1"/>
  <c r="H69" i="1"/>
  <c r="E69" i="1"/>
  <c r="M61" i="1"/>
  <c r="J61" i="1"/>
  <c r="I61" i="1"/>
  <c r="H61" i="1"/>
  <c r="E61" i="1"/>
  <c r="M53" i="1"/>
  <c r="I53" i="1"/>
  <c r="E53" i="1"/>
  <c r="M45" i="1"/>
  <c r="I45" i="1"/>
  <c r="E45" i="1"/>
  <c r="M37" i="1"/>
  <c r="I37" i="1"/>
  <c r="E37" i="1"/>
  <c r="M29" i="1"/>
  <c r="J29" i="1"/>
  <c r="I29" i="1"/>
  <c r="H29" i="1"/>
  <c r="E29" i="1"/>
  <c r="M21" i="1"/>
  <c r="I21" i="1"/>
  <c r="E21" i="1"/>
  <c r="M13" i="1"/>
  <c r="J13" i="1"/>
  <c r="I13" i="1"/>
  <c r="E13" i="1"/>
  <c r="B109" i="1"/>
  <c r="B101" i="1"/>
  <c r="B93" i="1"/>
  <c r="B85" i="1"/>
  <c r="B77" i="1"/>
  <c r="B69" i="1"/>
  <c r="B61" i="1"/>
  <c r="B53" i="1"/>
  <c r="B45" i="1"/>
  <c r="B37" i="1"/>
  <c r="B29" i="1"/>
  <c r="B21" i="1"/>
  <c r="B13" i="1"/>
  <c r="G60" i="1"/>
  <c r="G108" i="1"/>
  <c r="G111" i="1"/>
  <c r="H111" i="1"/>
  <c r="G100" i="1"/>
  <c r="H100" i="1"/>
  <c r="G92" i="1"/>
  <c r="G95" i="1"/>
  <c r="G84" i="1"/>
  <c r="G76" i="1"/>
  <c r="G68" i="1"/>
  <c r="H68" i="1"/>
  <c r="G52" i="1"/>
  <c r="G44" i="1"/>
  <c r="G36" i="1"/>
  <c r="H36" i="1"/>
  <c r="G28" i="1"/>
  <c r="G20" i="1"/>
  <c r="G12" i="1"/>
  <c r="F11" i="1"/>
  <c r="H11" i="1"/>
  <c r="F12" i="1"/>
  <c r="J12" i="1"/>
  <c r="F108" i="1"/>
  <c r="J108" i="1"/>
  <c r="F99" i="1"/>
  <c r="J99" i="1"/>
  <c r="F100" i="1"/>
  <c r="J100" i="1"/>
  <c r="F92" i="1"/>
  <c r="J92" i="1"/>
  <c r="F84" i="1"/>
  <c r="J84" i="1"/>
  <c r="F76" i="1"/>
  <c r="J76" i="1"/>
  <c r="F68" i="1"/>
  <c r="J68" i="1"/>
  <c r="F52" i="1"/>
  <c r="J52" i="1"/>
  <c r="F43" i="1"/>
  <c r="F44" i="1"/>
  <c r="H44" i="1"/>
  <c r="F34" i="1"/>
  <c r="F33" i="1"/>
  <c r="H33" i="1"/>
  <c r="J33" i="1"/>
  <c r="F36" i="1"/>
  <c r="J36" i="1"/>
  <c r="F28" i="1"/>
  <c r="J28" i="1"/>
  <c r="F20" i="1"/>
  <c r="G109" i="4"/>
  <c r="H109" i="4"/>
  <c r="F109" i="4"/>
  <c r="G101" i="4"/>
  <c r="H101" i="4"/>
  <c r="F101" i="4"/>
  <c r="G93" i="4"/>
  <c r="H93" i="4"/>
  <c r="F93" i="4"/>
  <c r="G85" i="4"/>
  <c r="H85" i="4"/>
  <c r="F85" i="4"/>
  <c r="G77" i="4"/>
  <c r="H77" i="4"/>
  <c r="F77" i="4"/>
  <c r="G69" i="4"/>
  <c r="H69" i="4"/>
  <c r="F69" i="4"/>
  <c r="G61" i="4"/>
  <c r="H61" i="4"/>
  <c r="F61" i="4"/>
  <c r="G53" i="4"/>
  <c r="H53" i="4"/>
  <c r="F53" i="4"/>
  <c r="G45" i="4"/>
  <c r="H45" i="4"/>
  <c r="F45" i="4"/>
  <c r="G37" i="4"/>
  <c r="H37" i="4"/>
  <c r="F37" i="4"/>
  <c r="G29" i="4"/>
  <c r="H29" i="4"/>
  <c r="F29" i="4"/>
  <c r="G21" i="4"/>
  <c r="H21" i="4"/>
  <c r="F21" i="4"/>
  <c r="G13" i="4"/>
  <c r="H13" i="4"/>
  <c r="F13" i="4"/>
  <c r="B109" i="4"/>
  <c r="B101" i="4"/>
  <c r="B93" i="4"/>
  <c r="B85" i="4"/>
  <c r="B77" i="4"/>
  <c r="B69" i="4"/>
  <c r="B61" i="4"/>
  <c r="B53" i="4"/>
  <c r="B45" i="4"/>
  <c r="B37" i="4"/>
  <c r="B29" i="4"/>
  <c r="B21" i="4"/>
  <c r="B13" i="4"/>
  <c r="G101" i="5"/>
  <c r="H101" i="5"/>
  <c r="F101" i="5"/>
  <c r="B109" i="5"/>
  <c r="B101" i="5"/>
  <c r="B93" i="5"/>
  <c r="B85" i="5"/>
  <c r="B77" i="5"/>
  <c r="B69" i="5"/>
  <c r="B61" i="5"/>
  <c r="B53" i="5"/>
  <c r="B45" i="5"/>
  <c r="B37" i="5"/>
  <c r="B29" i="5"/>
  <c r="B21" i="5"/>
  <c r="B13" i="5"/>
  <c r="G108" i="3"/>
  <c r="F108" i="3"/>
  <c r="G100" i="3"/>
  <c r="F100" i="3"/>
  <c r="G92" i="3"/>
  <c r="F92" i="3"/>
  <c r="G84" i="3"/>
  <c r="F84" i="3"/>
  <c r="G76" i="3"/>
  <c r="F76" i="3"/>
  <c r="G68" i="3"/>
  <c r="F68" i="3"/>
  <c r="G60" i="3"/>
  <c r="F60" i="3"/>
  <c r="G52" i="3"/>
  <c r="F52" i="3"/>
  <c r="G44" i="3"/>
  <c r="F44" i="3"/>
  <c r="G36" i="3"/>
  <c r="F36" i="3"/>
  <c r="G28" i="3"/>
  <c r="F28" i="3"/>
  <c r="G20" i="3"/>
  <c r="F20" i="3"/>
  <c r="B108" i="3"/>
  <c r="B100" i="3"/>
  <c r="B92" i="3"/>
  <c r="B84" i="3"/>
  <c r="B76" i="3"/>
  <c r="B68" i="3"/>
  <c r="B60" i="3"/>
  <c r="B52" i="3"/>
  <c r="B44" i="3"/>
  <c r="B36" i="3"/>
  <c r="B28" i="3"/>
  <c r="B20" i="3"/>
  <c r="G12" i="3"/>
  <c r="F12" i="3"/>
  <c r="B12" i="3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M108" i="1"/>
  <c r="I108" i="1"/>
  <c r="H108" i="1"/>
  <c r="E108" i="1"/>
  <c r="M100" i="1"/>
  <c r="I100" i="1"/>
  <c r="E100" i="1"/>
  <c r="M92" i="1"/>
  <c r="I92" i="1"/>
  <c r="E92" i="1"/>
  <c r="M84" i="1"/>
  <c r="I84" i="1"/>
  <c r="H84" i="1"/>
  <c r="E84" i="1"/>
  <c r="M76" i="1"/>
  <c r="I76" i="1"/>
  <c r="E76" i="1"/>
  <c r="M68" i="1"/>
  <c r="I68" i="1"/>
  <c r="E68" i="1"/>
  <c r="M60" i="1"/>
  <c r="I60" i="1"/>
  <c r="E60" i="1"/>
  <c r="M52" i="1"/>
  <c r="I52" i="1"/>
  <c r="E52" i="1"/>
  <c r="M44" i="1"/>
  <c r="J44" i="1"/>
  <c r="I44" i="1"/>
  <c r="E44" i="1"/>
  <c r="M36" i="1"/>
  <c r="I36" i="1"/>
  <c r="E36" i="1"/>
  <c r="M28" i="1"/>
  <c r="I28" i="1"/>
  <c r="H28" i="1"/>
  <c r="E28" i="1"/>
  <c r="M20" i="1"/>
  <c r="J20" i="1"/>
  <c r="I20" i="1"/>
  <c r="E20" i="1"/>
  <c r="M12" i="1"/>
  <c r="I12" i="1"/>
  <c r="H12" i="1"/>
  <c r="E12" i="1"/>
  <c r="B108" i="1"/>
  <c r="B100" i="1"/>
  <c r="B92" i="1"/>
  <c r="B84" i="1"/>
  <c r="B76" i="1"/>
  <c r="B68" i="1"/>
  <c r="B60" i="1"/>
  <c r="B52" i="1"/>
  <c r="B44" i="1"/>
  <c r="B36" i="1"/>
  <c r="B28" i="1"/>
  <c r="B20" i="1"/>
  <c r="B12" i="1"/>
  <c r="F59" i="1"/>
  <c r="H59" i="1"/>
  <c r="G107" i="1"/>
  <c r="G99" i="1"/>
  <c r="G91" i="1"/>
  <c r="G83" i="1"/>
  <c r="G75" i="1"/>
  <c r="G67" i="1"/>
  <c r="G59" i="1"/>
  <c r="G51" i="1"/>
  <c r="G43" i="1"/>
  <c r="G35" i="1"/>
  <c r="H35" i="1"/>
  <c r="G27" i="1"/>
  <c r="G19" i="1"/>
  <c r="G11" i="1"/>
  <c r="G15" i="1"/>
  <c r="F107" i="1"/>
  <c r="F91" i="1"/>
  <c r="F83" i="1"/>
  <c r="F75" i="1"/>
  <c r="F67" i="1"/>
  <c r="F51" i="1"/>
  <c r="H43" i="1"/>
  <c r="F35" i="1"/>
  <c r="F27" i="1"/>
  <c r="H27" i="1"/>
  <c r="F19" i="1"/>
  <c r="J19" i="1"/>
  <c r="G108" i="4"/>
  <c r="H108" i="4"/>
  <c r="F108" i="4"/>
  <c r="G100" i="4"/>
  <c r="H100" i="4"/>
  <c r="F100" i="4"/>
  <c r="G92" i="4"/>
  <c r="H92" i="4"/>
  <c r="F92" i="4"/>
  <c r="G84" i="4"/>
  <c r="H84" i="4"/>
  <c r="F84" i="4"/>
  <c r="G76" i="4"/>
  <c r="H76" i="4"/>
  <c r="F76" i="4"/>
  <c r="G68" i="4"/>
  <c r="H68" i="4"/>
  <c r="F68" i="4"/>
  <c r="G60" i="4"/>
  <c r="H60" i="4"/>
  <c r="F60" i="4"/>
  <c r="G52" i="4"/>
  <c r="H52" i="4"/>
  <c r="F52" i="4"/>
  <c r="G44" i="4"/>
  <c r="H44" i="4"/>
  <c r="F44" i="4"/>
  <c r="G36" i="4"/>
  <c r="H36" i="4"/>
  <c r="F36" i="4"/>
  <c r="G28" i="4"/>
  <c r="H28" i="4"/>
  <c r="F28" i="4"/>
  <c r="G20" i="4"/>
  <c r="H20" i="4"/>
  <c r="F20" i="4"/>
  <c r="G12" i="4"/>
  <c r="H12" i="4"/>
  <c r="F12" i="4"/>
  <c r="B108" i="4"/>
  <c r="B100" i="4"/>
  <c r="B92" i="4"/>
  <c r="B84" i="4"/>
  <c r="B76" i="4"/>
  <c r="B68" i="4"/>
  <c r="B60" i="4"/>
  <c r="B52" i="4"/>
  <c r="B44" i="4"/>
  <c r="B36" i="4"/>
  <c r="B28" i="4"/>
  <c r="B20" i="4"/>
  <c r="B12" i="4"/>
  <c r="G100" i="5"/>
  <c r="H100" i="5"/>
  <c r="F100" i="5"/>
  <c r="B108" i="5"/>
  <c r="B100" i="5"/>
  <c r="B92" i="5"/>
  <c r="B84" i="5"/>
  <c r="B76" i="5"/>
  <c r="B68" i="5"/>
  <c r="B60" i="5"/>
  <c r="B52" i="5"/>
  <c r="B44" i="5"/>
  <c r="B36" i="5"/>
  <c r="B28" i="5"/>
  <c r="B20" i="5"/>
  <c r="B12" i="5"/>
  <c r="G107" i="3"/>
  <c r="F107" i="3"/>
  <c r="G99" i="3"/>
  <c r="F99" i="3"/>
  <c r="G91" i="3"/>
  <c r="F91" i="3"/>
  <c r="G83" i="3"/>
  <c r="F83" i="3"/>
  <c r="G75" i="3"/>
  <c r="F75" i="3"/>
  <c r="G67" i="3"/>
  <c r="F67" i="3"/>
  <c r="G59" i="3"/>
  <c r="F59" i="3"/>
  <c r="G51" i="3"/>
  <c r="F51" i="3"/>
  <c r="G43" i="3"/>
  <c r="F43" i="3"/>
  <c r="G35" i="3"/>
  <c r="F35" i="3"/>
  <c r="G27" i="3"/>
  <c r="F27" i="3"/>
  <c r="G19" i="3"/>
  <c r="F19" i="3"/>
  <c r="B107" i="3"/>
  <c r="B99" i="3"/>
  <c r="B91" i="3"/>
  <c r="B83" i="3"/>
  <c r="B75" i="3"/>
  <c r="B67" i="3"/>
  <c r="B59" i="3"/>
  <c r="B51" i="3"/>
  <c r="B43" i="3"/>
  <c r="B35" i="3"/>
  <c r="B27" i="3"/>
  <c r="B19" i="3"/>
  <c r="G11" i="3"/>
  <c r="F11" i="3"/>
  <c r="B11" i="3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M107" i="1"/>
  <c r="J107" i="1"/>
  <c r="I107" i="1"/>
  <c r="E107" i="1"/>
  <c r="M99" i="1"/>
  <c r="I99" i="1"/>
  <c r="E99" i="1"/>
  <c r="M91" i="1"/>
  <c r="J91" i="1"/>
  <c r="I91" i="1"/>
  <c r="E91" i="1"/>
  <c r="M83" i="1"/>
  <c r="J83" i="1"/>
  <c r="I83" i="1"/>
  <c r="E83" i="1"/>
  <c r="M75" i="1"/>
  <c r="J75" i="1"/>
  <c r="I75" i="1"/>
  <c r="H75" i="1"/>
  <c r="E75" i="1"/>
  <c r="M67" i="1"/>
  <c r="J67" i="1"/>
  <c r="I67" i="1"/>
  <c r="E67" i="1"/>
  <c r="M59" i="1"/>
  <c r="I59" i="1"/>
  <c r="E59" i="1"/>
  <c r="M51" i="1"/>
  <c r="J51" i="1"/>
  <c r="I51" i="1"/>
  <c r="E51" i="1"/>
  <c r="M43" i="1"/>
  <c r="J43" i="1"/>
  <c r="I43" i="1"/>
  <c r="E43" i="1"/>
  <c r="M35" i="1"/>
  <c r="J35" i="1"/>
  <c r="I35" i="1"/>
  <c r="E35" i="1"/>
  <c r="M27" i="1"/>
  <c r="J27" i="1"/>
  <c r="I27" i="1"/>
  <c r="E27" i="1"/>
  <c r="M19" i="1"/>
  <c r="I19" i="1"/>
  <c r="E19" i="1"/>
  <c r="M11" i="1"/>
  <c r="I11" i="1"/>
  <c r="E11" i="1"/>
  <c r="B107" i="1"/>
  <c r="B99" i="1"/>
  <c r="B91" i="1"/>
  <c r="B83" i="1"/>
  <c r="B75" i="1"/>
  <c r="B67" i="1"/>
  <c r="B59" i="1"/>
  <c r="B51" i="1"/>
  <c r="B43" i="1"/>
  <c r="B35" i="1"/>
  <c r="B27" i="1"/>
  <c r="B19" i="1"/>
  <c r="B11" i="1"/>
  <c r="G107" i="4"/>
  <c r="H107" i="4"/>
  <c r="F107" i="4"/>
  <c r="G99" i="4"/>
  <c r="H99" i="4"/>
  <c r="F99" i="4"/>
  <c r="G91" i="4"/>
  <c r="H91" i="4"/>
  <c r="F91" i="4"/>
  <c r="G83" i="4"/>
  <c r="H83" i="4"/>
  <c r="F83" i="4"/>
  <c r="G75" i="4"/>
  <c r="H75" i="4"/>
  <c r="F75" i="4"/>
  <c r="G67" i="4"/>
  <c r="H67" i="4"/>
  <c r="F67" i="4"/>
  <c r="G59" i="4"/>
  <c r="H59" i="4"/>
  <c r="F59" i="4"/>
  <c r="G51" i="4"/>
  <c r="H51" i="4"/>
  <c r="F51" i="4"/>
  <c r="G43" i="4"/>
  <c r="H43" i="4"/>
  <c r="F43" i="4"/>
  <c r="G35" i="4"/>
  <c r="H35" i="4"/>
  <c r="F35" i="4"/>
  <c r="G27" i="4"/>
  <c r="H27" i="4"/>
  <c r="F27" i="4"/>
  <c r="G19" i="4"/>
  <c r="H19" i="4"/>
  <c r="F19" i="4"/>
  <c r="G11" i="4"/>
  <c r="H11" i="4"/>
  <c r="F11" i="4"/>
  <c r="B107" i="4"/>
  <c r="B99" i="4"/>
  <c r="B91" i="4"/>
  <c r="B83" i="4"/>
  <c r="B75" i="4"/>
  <c r="B67" i="4"/>
  <c r="B59" i="4"/>
  <c r="B51" i="4"/>
  <c r="B43" i="4"/>
  <c r="B35" i="4"/>
  <c r="B27" i="4"/>
  <c r="B19" i="4"/>
  <c r="B11" i="4"/>
  <c r="G99" i="5"/>
  <c r="H99" i="5"/>
  <c r="F99" i="5"/>
  <c r="B107" i="5"/>
  <c r="B99" i="5"/>
  <c r="B91" i="5"/>
  <c r="B83" i="5"/>
  <c r="B75" i="5"/>
  <c r="B67" i="5"/>
  <c r="B59" i="5"/>
  <c r="B51" i="5"/>
  <c r="B43" i="5"/>
  <c r="B35" i="5"/>
  <c r="B27" i="5"/>
  <c r="B19" i="5"/>
  <c r="B11" i="5"/>
  <c r="G106" i="3"/>
  <c r="F106" i="3"/>
  <c r="G98" i="3"/>
  <c r="F98" i="3"/>
  <c r="G90" i="3"/>
  <c r="F90" i="3"/>
  <c r="G82" i="3"/>
  <c r="F82" i="3"/>
  <c r="G74" i="3"/>
  <c r="F74" i="3"/>
  <c r="G66" i="3"/>
  <c r="F66" i="3"/>
  <c r="G58" i="3"/>
  <c r="F58" i="3"/>
  <c r="G50" i="3"/>
  <c r="F50" i="3"/>
  <c r="G42" i="3"/>
  <c r="F42" i="3"/>
  <c r="G34" i="3"/>
  <c r="F34" i="3"/>
  <c r="G26" i="3"/>
  <c r="F26" i="3"/>
  <c r="G18" i="3"/>
  <c r="F18" i="3"/>
  <c r="G10" i="3"/>
  <c r="F10" i="3"/>
  <c r="B106" i="3"/>
  <c r="B98" i="3"/>
  <c r="B90" i="3"/>
  <c r="B82" i="3"/>
  <c r="B74" i="3"/>
  <c r="B66" i="3"/>
  <c r="B58" i="3"/>
  <c r="B50" i="3"/>
  <c r="B42" i="3"/>
  <c r="B34" i="3"/>
  <c r="B26" i="3"/>
  <c r="B18" i="3"/>
  <c r="B10" i="3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G65" i="1"/>
  <c r="M106" i="1"/>
  <c r="J106" i="1"/>
  <c r="I106" i="1"/>
  <c r="H106" i="1"/>
  <c r="E106" i="1"/>
  <c r="G106" i="1"/>
  <c r="F106" i="1"/>
  <c r="M98" i="1"/>
  <c r="J98" i="1"/>
  <c r="I98" i="1"/>
  <c r="H98" i="1"/>
  <c r="E98" i="1"/>
  <c r="G98" i="1"/>
  <c r="F98" i="1"/>
  <c r="M90" i="1"/>
  <c r="J90" i="1"/>
  <c r="I90" i="1"/>
  <c r="H90" i="1"/>
  <c r="E90" i="1"/>
  <c r="G90" i="1"/>
  <c r="F90" i="1"/>
  <c r="M82" i="1"/>
  <c r="J82" i="1"/>
  <c r="I82" i="1"/>
  <c r="H82" i="1"/>
  <c r="E82" i="1"/>
  <c r="G82" i="1"/>
  <c r="F82" i="1"/>
  <c r="M74" i="1"/>
  <c r="J74" i="1"/>
  <c r="I74" i="1"/>
  <c r="H74" i="1"/>
  <c r="E74" i="1"/>
  <c r="G74" i="1"/>
  <c r="F74" i="1"/>
  <c r="M66" i="1"/>
  <c r="I66" i="1"/>
  <c r="E66" i="1"/>
  <c r="G66" i="1"/>
  <c r="M58" i="1"/>
  <c r="J58" i="1"/>
  <c r="I58" i="1"/>
  <c r="H58" i="1"/>
  <c r="E58" i="1"/>
  <c r="G58" i="1"/>
  <c r="F58" i="1"/>
  <c r="M50" i="1"/>
  <c r="J50" i="1"/>
  <c r="I50" i="1"/>
  <c r="H50" i="1"/>
  <c r="E50" i="1"/>
  <c r="G50" i="1"/>
  <c r="F50" i="1"/>
  <c r="M42" i="1"/>
  <c r="J42" i="1"/>
  <c r="I42" i="1"/>
  <c r="H42" i="1"/>
  <c r="E42" i="1"/>
  <c r="G42" i="1"/>
  <c r="F42" i="1"/>
  <c r="M34" i="1"/>
  <c r="I34" i="1"/>
  <c r="E34" i="1"/>
  <c r="G34" i="1"/>
  <c r="J34" i="1"/>
  <c r="M26" i="1"/>
  <c r="J26" i="1"/>
  <c r="I26" i="1"/>
  <c r="H26" i="1"/>
  <c r="E26" i="1"/>
  <c r="G26" i="1"/>
  <c r="F26" i="1"/>
  <c r="M18" i="1"/>
  <c r="I18" i="1"/>
  <c r="E18" i="1"/>
  <c r="G18" i="1"/>
  <c r="F18" i="1"/>
  <c r="H18" i="1"/>
  <c r="M10" i="1"/>
  <c r="J10" i="1"/>
  <c r="I10" i="1"/>
  <c r="H10" i="1"/>
  <c r="E10" i="1"/>
  <c r="G10" i="1"/>
  <c r="F10" i="1"/>
  <c r="B106" i="1"/>
  <c r="B98" i="1"/>
  <c r="B90" i="1"/>
  <c r="B82" i="1"/>
  <c r="B74" i="1"/>
  <c r="B66" i="1"/>
  <c r="B58" i="1"/>
  <c r="B50" i="1"/>
  <c r="B42" i="1"/>
  <c r="B34" i="1"/>
  <c r="B26" i="1"/>
  <c r="B18" i="1"/>
  <c r="B10" i="1"/>
  <c r="B106" i="4"/>
  <c r="B98" i="4"/>
  <c r="B90" i="4"/>
  <c r="B82" i="4"/>
  <c r="B74" i="4"/>
  <c r="B66" i="4"/>
  <c r="B58" i="4"/>
  <c r="B50" i="4"/>
  <c r="B42" i="4"/>
  <c r="B34" i="4"/>
  <c r="B26" i="4"/>
  <c r="B18" i="4"/>
  <c r="B10" i="4"/>
  <c r="B106" i="5"/>
  <c r="B98" i="5"/>
  <c r="B90" i="5"/>
  <c r="B82" i="5"/>
  <c r="B74" i="5"/>
  <c r="B66" i="5"/>
  <c r="B58" i="5"/>
  <c r="B50" i="5"/>
  <c r="B42" i="5"/>
  <c r="B34" i="5"/>
  <c r="B26" i="5"/>
  <c r="B18" i="5"/>
  <c r="B10" i="5"/>
  <c r="B105" i="3"/>
  <c r="B97" i="3"/>
  <c r="B89" i="3"/>
  <c r="B81" i="3"/>
  <c r="B73" i="3"/>
  <c r="B65" i="3"/>
  <c r="B57" i="3"/>
  <c r="B49" i="3"/>
  <c r="B41" i="3"/>
  <c r="B33" i="3"/>
  <c r="B25" i="3"/>
  <c r="B17" i="3"/>
  <c r="B9" i="3"/>
  <c r="A31" i="2"/>
  <c r="A10" i="2"/>
  <c r="G105" i="1"/>
  <c r="F105" i="1"/>
  <c r="G97" i="1"/>
  <c r="F97" i="1"/>
  <c r="G89" i="1"/>
  <c r="F89" i="1"/>
  <c r="G81" i="1"/>
  <c r="F81" i="1"/>
  <c r="G73" i="1"/>
  <c r="F73" i="1"/>
  <c r="F65" i="1"/>
  <c r="G57" i="1"/>
  <c r="F57" i="1"/>
  <c r="G49" i="1"/>
  <c r="F49" i="1"/>
  <c r="G41" i="1"/>
  <c r="F41" i="1"/>
  <c r="G33" i="1"/>
  <c r="G25" i="1"/>
  <c r="F25" i="1"/>
  <c r="G17" i="1"/>
  <c r="F17" i="1"/>
  <c r="G9" i="1"/>
  <c r="F9" i="1"/>
  <c r="B105" i="1"/>
  <c r="B97" i="1"/>
  <c r="B89" i="1"/>
  <c r="B81" i="1"/>
  <c r="B73" i="1"/>
  <c r="B65" i="1"/>
  <c r="B57" i="1"/>
  <c r="B49" i="1"/>
  <c r="B41" i="1"/>
  <c r="B33" i="1"/>
  <c r="B25" i="1"/>
  <c r="B17" i="1"/>
  <c r="B9" i="1"/>
  <c r="J81" i="1"/>
  <c r="F15" i="1"/>
  <c r="F98" i="5"/>
  <c r="J89" i="1"/>
  <c r="J49" i="1"/>
  <c r="G98" i="5"/>
  <c r="H98" i="5"/>
  <c r="B10" i="2"/>
  <c r="E112" i="5"/>
  <c r="D112" i="5"/>
  <c r="C112" i="5"/>
  <c r="E104" i="5"/>
  <c r="D104" i="5"/>
  <c r="G104" i="5"/>
  <c r="H104" i="5"/>
  <c r="C104" i="5"/>
  <c r="E96" i="5"/>
  <c r="D96" i="5"/>
  <c r="C96" i="5"/>
  <c r="E88" i="5"/>
  <c r="D88" i="5"/>
  <c r="C88" i="5"/>
  <c r="E80" i="5"/>
  <c r="D80" i="5"/>
  <c r="C80" i="5"/>
  <c r="E72" i="5"/>
  <c r="D72" i="5"/>
  <c r="C72" i="5"/>
  <c r="E64" i="5"/>
  <c r="D64" i="5"/>
  <c r="C64" i="5"/>
  <c r="E56" i="5"/>
  <c r="D56" i="5"/>
  <c r="C56" i="5"/>
  <c r="E48" i="5"/>
  <c r="D48" i="5"/>
  <c r="C48" i="5"/>
  <c r="E40" i="5"/>
  <c r="D40" i="5"/>
  <c r="C40" i="5"/>
  <c r="E32" i="5"/>
  <c r="D32" i="5"/>
  <c r="C32" i="5"/>
  <c r="E24" i="5"/>
  <c r="D24" i="5"/>
  <c r="C24" i="5"/>
  <c r="E16" i="5"/>
  <c r="D16" i="5"/>
  <c r="F16" i="5"/>
  <c r="C16" i="5"/>
  <c r="L39" i="1"/>
  <c r="F50" i="4"/>
  <c r="F49" i="3"/>
  <c r="M49" i="1"/>
  <c r="E49" i="1"/>
  <c r="F106" i="4"/>
  <c r="F105" i="3"/>
  <c r="G31" i="2"/>
  <c r="G10" i="2"/>
  <c r="M105" i="1"/>
  <c r="E105" i="1"/>
  <c r="E56" i="4"/>
  <c r="D56" i="4"/>
  <c r="F56" i="4"/>
  <c r="C56" i="4"/>
  <c r="G56" i="4"/>
  <c r="H56" i="4"/>
  <c r="G50" i="4"/>
  <c r="H50" i="4"/>
  <c r="E55" i="3"/>
  <c r="D55" i="3"/>
  <c r="F55" i="3"/>
  <c r="C55" i="3"/>
  <c r="G55" i="3"/>
  <c r="G49" i="3"/>
  <c r="L55" i="1"/>
  <c r="M55" i="1"/>
  <c r="D55" i="1"/>
  <c r="E55" i="1"/>
  <c r="C55" i="1"/>
  <c r="I49" i="1"/>
  <c r="G106" i="4"/>
  <c r="H106" i="4"/>
  <c r="G105" i="3"/>
  <c r="I105" i="1"/>
  <c r="D15" i="1"/>
  <c r="D23" i="1"/>
  <c r="D31" i="1"/>
  <c r="E31" i="1"/>
  <c r="D39" i="1"/>
  <c r="D47" i="1"/>
  <c r="D63" i="1"/>
  <c r="E63" i="1"/>
  <c r="D71" i="1"/>
  <c r="D79" i="1"/>
  <c r="D87" i="1"/>
  <c r="D95" i="1"/>
  <c r="E95" i="1"/>
  <c r="D103" i="1"/>
  <c r="D111" i="1"/>
  <c r="C111" i="1"/>
  <c r="E111" i="1"/>
  <c r="C112" i="4"/>
  <c r="D112" i="4"/>
  <c r="G112" i="4"/>
  <c r="H112" i="4"/>
  <c r="C111" i="3"/>
  <c r="D111" i="3"/>
  <c r="G111" i="3"/>
  <c r="E16" i="4"/>
  <c r="E24" i="4"/>
  <c r="E32" i="4"/>
  <c r="E40" i="4"/>
  <c r="E48" i="4"/>
  <c r="E64" i="4"/>
  <c r="E72" i="4"/>
  <c r="E80" i="4"/>
  <c r="E88" i="4"/>
  <c r="E96" i="4"/>
  <c r="E104" i="4"/>
  <c r="E112" i="4"/>
  <c r="D16" i="4"/>
  <c r="F16" i="4"/>
  <c r="D24" i="4"/>
  <c r="D32" i="4"/>
  <c r="D40" i="4"/>
  <c r="F40" i="4"/>
  <c r="D48" i="4"/>
  <c r="F48" i="4"/>
  <c r="D64" i="4"/>
  <c r="F64" i="4"/>
  <c r="D72" i="4"/>
  <c r="D80" i="4"/>
  <c r="F80" i="4"/>
  <c r="D88" i="4"/>
  <c r="F88" i="4"/>
  <c r="D96" i="4"/>
  <c r="D104" i="4"/>
  <c r="C16" i="4"/>
  <c r="C24" i="4"/>
  <c r="G24" i="4"/>
  <c r="H24" i="4"/>
  <c r="C32" i="4"/>
  <c r="C40" i="4"/>
  <c r="G40" i="4"/>
  <c r="H40" i="4"/>
  <c r="C48" i="4"/>
  <c r="C64" i="4"/>
  <c r="G64" i="4"/>
  <c r="H64" i="4"/>
  <c r="C72" i="4"/>
  <c r="G72" i="4"/>
  <c r="H72" i="4"/>
  <c r="C80" i="4"/>
  <c r="C88" i="4"/>
  <c r="C96" i="4"/>
  <c r="C104" i="4"/>
  <c r="F82" i="4"/>
  <c r="E15" i="3"/>
  <c r="E23" i="3"/>
  <c r="E31" i="3"/>
  <c r="F31" i="3"/>
  <c r="E39" i="3"/>
  <c r="E47" i="3"/>
  <c r="E63" i="3"/>
  <c r="F63" i="3"/>
  <c r="E71" i="3"/>
  <c r="E79" i="3"/>
  <c r="F79" i="3"/>
  <c r="E87" i="3"/>
  <c r="F87" i="3"/>
  <c r="E95" i="3"/>
  <c r="E103" i="3"/>
  <c r="E111" i="3"/>
  <c r="F111" i="3"/>
  <c r="D15" i="3"/>
  <c r="D23" i="3"/>
  <c r="D31" i="3"/>
  <c r="D39" i="3"/>
  <c r="F39" i="3"/>
  <c r="D47" i="3"/>
  <c r="F47" i="3"/>
  <c r="D63" i="3"/>
  <c r="G63" i="3"/>
  <c r="D71" i="3"/>
  <c r="D79" i="3"/>
  <c r="D87" i="3"/>
  <c r="D95" i="3"/>
  <c r="G95" i="3"/>
  <c r="F95" i="3"/>
  <c r="D103" i="3"/>
  <c r="C15" i="3"/>
  <c r="C23" i="3"/>
  <c r="C31" i="3"/>
  <c r="C39" i="3"/>
  <c r="C47" i="3"/>
  <c r="G47" i="3"/>
  <c r="C63" i="3"/>
  <c r="C71" i="3"/>
  <c r="C79" i="3"/>
  <c r="G79" i="3"/>
  <c r="C87" i="3"/>
  <c r="G87" i="3"/>
  <c r="C95" i="3"/>
  <c r="C103" i="3"/>
  <c r="F81" i="3"/>
  <c r="M81" i="1"/>
  <c r="E81" i="1"/>
  <c r="L15" i="1"/>
  <c r="L23" i="1"/>
  <c r="L31" i="1"/>
  <c r="L47" i="1"/>
  <c r="L63" i="1"/>
  <c r="L71" i="1"/>
  <c r="L79" i="1"/>
  <c r="L87" i="1"/>
  <c r="M87" i="1"/>
  <c r="L95" i="1"/>
  <c r="L103" i="1"/>
  <c r="K15" i="1"/>
  <c r="K23" i="1"/>
  <c r="C15" i="1"/>
  <c r="C23" i="1"/>
  <c r="C31" i="1"/>
  <c r="C39" i="1"/>
  <c r="C47" i="1"/>
  <c r="E47" i="1"/>
  <c r="C63" i="1"/>
  <c r="C71" i="1"/>
  <c r="C79" i="1"/>
  <c r="I79" i="1"/>
  <c r="C87" i="1"/>
  <c r="E87" i="1"/>
  <c r="C95" i="1"/>
  <c r="C103" i="1"/>
  <c r="E89" i="1"/>
  <c r="I89" i="1"/>
  <c r="M89" i="1"/>
  <c r="K87" i="1"/>
  <c r="I87" i="1"/>
  <c r="F98" i="4"/>
  <c r="K31" i="2"/>
  <c r="K10" i="2"/>
  <c r="K39" i="1"/>
  <c r="M39" i="1"/>
  <c r="K47" i="1"/>
  <c r="M47" i="1"/>
  <c r="K63" i="1"/>
  <c r="I63" i="1"/>
  <c r="K71" i="1"/>
  <c r="M71" i="1"/>
  <c r="K79" i="1"/>
  <c r="M79" i="1"/>
  <c r="K103" i="1"/>
  <c r="I81" i="1"/>
  <c r="G82" i="4"/>
  <c r="H82" i="4"/>
  <c r="G81" i="3"/>
  <c r="F66" i="4"/>
  <c r="F65" i="3"/>
  <c r="N31" i="2"/>
  <c r="M31" i="2"/>
  <c r="L31" i="2"/>
  <c r="L44" i="2"/>
  <c r="J31" i="2"/>
  <c r="I31" i="2"/>
  <c r="H31" i="2"/>
  <c r="F31" i="2"/>
  <c r="E31" i="2"/>
  <c r="C31" i="2"/>
  <c r="B31" i="2"/>
  <c r="M65" i="1"/>
  <c r="E65" i="1"/>
  <c r="I10" i="2"/>
  <c r="G66" i="4"/>
  <c r="H66" i="4"/>
  <c r="G74" i="4"/>
  <c r="H74" i="4"/>
  <c r="F74" i="4"/>
  <c r="G65" i="3"/>
  <c r="I65" i="1"/>
  <c r="F10" i="4"/>
  <c r="G10" i="4"/>
  <c r="H10" i="4"/>
  <c r="I9" i="1"/>
  <c r="I17" i="1"/>
  <c r="I33" i="1"/>
  <c r="I41" i="1"/>
  <c r="I57" i="1"/>
  <c r="I73" i="1"/>
  <c r="I97" i="1"/>
  <c r="E9" i="1"/>
  <c r="M9" i="1"/>
  <c r="E17" i="1"/>
  <c r="M17" i="1"/>
  <c r="E25" i="1"/>
  <c r="E33" i="1"/>
  <c r="M33" i="1"/>
  <c r="E41" i="1"/>
  <c r="M41" i="1"/>
  <c r="E57" i="1"/>
  <c r="M57" i="1"/>
  <c r="E73" i="1"/>
  <c r="M73" i="1"/>
  <c r="E97" i="1"/>
  <c r="M97" i="1"/>
  <c r="F18" i="4"/>
  <c r="G18" i="4"/>
  <c r="H18" i="4"/>
  <c r="F26" i="4"/>
  <c r="G26" i="4"/>
  <c r="H26" i="4"/>
  <c r="F34" i="4"/>
  <c r="G34" i="4"/>
  <c r="H34" i="4"/>
  <c r="F42" i="4"/>
  <c r="G42" i="4"/>
  <c r="H42" i="4"/>
  <c r="F58" i="4"/>
  <c r="G58" i="4"/>
  <c r="H58" i="4"/>
  <c r="F90" i="4"/>
  <c r="G90" i="4"/>
  <c r="H90" i="4"/>
  <c r="G98" i="4"/>
  <c r="H98" i="4"/>
  <c r="F9" i="3"/>
  <c r="F17" i="3"/>
  <c r="G17" i="3"/>
  <c r="F25" i="3"/>
  <c r="G25" i="3"/>
  <c r="F33" i="3"/>
  <c r="G33" i="3"/>
  <c r="F41" i="3"/>
  <c r="G41" i="3"/>
  <c r="F57" i="3"/>
  <c r="G57" i="3"/>
  <c r="F73" i="3"/>
  <c r="G73" i="3"/>
  <c r="F89" i="3"/>
  <c r="G89" i="3"/>
  <c r="F97" i="3"/>
  <c r="G97" i="3"/>
  <c r="G9" i="3"/>
  <c r="C10" i="2"/>
  <c r="D10" i="2"/>
  <c r="E10" i="2"/>
  <c r="F10" i="2"/>
  <c r="H10" i="2"/>
  <c r="J10" i="2"/>
  <c r="L10" i="2"/>
  <c r="M10" i="2"/>
  <c r="N10" i="2"/>
  <c r="I25" i="1"/>
  <c r="M25" i="1"/>
  <c r="K31" i="1"/>
  <c r="M31" i="1"/>
  <c r="D31" i="2"/>
  <c r="L111" i="1"/>
  <c r="K111" i="1"/>
  <c r="I111" i="1"/>
  <c r="K55" i="1"/>
  <c r="K95" i="1"/>
  <c r="M95" i="1"/>
  <c r="J17" i="1"/>
  <c r="H49" i="1"/>
  <c r="J9" i="1"/>
  <c r="H17" i="1"/>
  <c r="J25" i="1"/>
  <c r="H25" i="1"/>
  <c r="H9" i="1"/>
  <c r="H81" i="1"/>
  <c r="G47" i="1"/>
  <c r="H73" i="1"/>
  <c r="G79" i="1"/>
  <c r="H57" i="1"/>
  <c r="H89" i="1"/>
  <c r="G63" i="1"/>
  <c r="H97" i="1"/>
  <c r="H65" i="1"/>
  <c r="J57" i="1"/>
  <c r="J65" i="1"/>
  <c r="J41" i="1"/>
  <c r="J97" i="1"/>
  <c r="H41" i="1"/>
  <c r="J105" i="1"/>
  <c r="J73" i="1"/>
  <c r="H105" i="1"/>
  <c r="H107" i="1"/>
  <c r="H91" i="1"/>
  <c r="H83" i="1"/>
  <c r="H51" i="1"/>
  <c r="J18" i="1"/>
  <c r="F111" i="1"/>
  <c r="H67" i="1"/>
  <c r="H19" i="1"/>
  <c r="J11" i="1"/>
  <c r="J59" i="1"/>
  <c r="G103" i="1"/>
  <c r="G71" i="1"/>
  <c r="H52" i="1"/>
  <c r="G39" i="1"/>
  <c r="E39" i="1"/>
  <c r="G31" i="1"/>
  <c r="H20" i="1"/>
  <c r="E23" i="1"/>
  <c r="H99" i="1"/>
  <c r="E103" i="1"/>
  <c r="I95" i="1"/>
  <c r="H92" i="1"/>
  <c r="F87" i="1"/>
  <c r="H76" i="1"/>
  <c r="I55" i="1"/>
  <c r="F55" i="1"/>
  <c r="I39" i="1"/>
  <c r="H34" i="1"/>
  <c r="F39" i="1"/>
  <c r="F24" i="4"/>
  <c r="F112" i="4"/>
  <c r="G80" i="4"/>
  <c r="H80" i="4"/>
  <c r="G31" i="3"/>
  <c r="E44" i="2"/>
  <c r="J23" i="2"/>
  <c r="B23" i="2"/>
  <c r="H44" i="2"/>
  <c r="M44" i="2"/>
  <c r="H23" i="2"/>
  <c r="J44" i="2"/>
  <c r="C44" i="2"/>
  <c r="F44" i="2"/>
  <c r="O11" i="2"/>
  <c r="O32" i="2"/>
  <c r="G23" i="2"/>
  <c r="I44" i="2"/>
  <c r="K44" i="2"/>
  <c r="N23" i="2"/>
  <c r="C23" i="2"/>
  <c r="K23" i="2"/>
  <c r="O33" i="2"/>
  <c r="O34" i="2"/>
  <c r="M23" i="2"/>
  <c r="O10" i="2"/>
  <c r="N44" i="2"/>
  <c r="O13" i="2"/>
  <c r="O12" i="2"/>
  <c r="O31" i="2"/>
  <c r="F104" i="4"/>
  <c r="F96" i="4"/>
  <c r="F72" i="4"/>
  <c r="E114" i="4"/>
  <c r="F32" i="4"/>
  <c r="F116" i="4"/>
  <c r="G104" i="4"/>
  <c r="H104" i="4"/>
  <c r="G96" i="4"/>
  <c r="H96" i="4"/>
  <c r="G88" i="4"/>
  <c r="H88" i="4"/>
  <c r="G48" i="4"/>
  <c r="H48" i="4"/>
  <c r="D114" i="4"/>
  <c r="G32" i="4"/>
  <c r="H32" i="4"/>
  <c r="G16" i="4"/>
  <c r="H16" i="4"/>
  <c r="G116" i="4"/>
  <c r="H116" i="4"/>
  <c r="C114" i="4"/>
  <c r="G114" i="4"/>
  <c r="H114" i="4"/>
  <c r="F40" i="5"/>
  <c r="E114" i="5"/>
  <c r="F116" i="5"/>
  <c r="F104" i="5"/>
  <c r="D114" i="5"/>
  <c r="C114" i="5"/>
  <c r="G116" i="5"/>
  <c r="H116" i="5"/>
  <c r="F103" i="3"/>
  <c r="F71" i="3"/>
  <c r="E113" i="3"/>
  <c r="F15" i="3"/>
  <c r="F115" i="3"/>
  <c r="G103" i="3"/>
  <c r="G71" i="3"/>
  <c r="G39" i="3"/>
  <c r="D113" i="3"/>
  <c r="G115" i="3"/>
  <c r="F23" i="3"/>
  <c r="G23" i="3"/>
  <c r="C113" i="3"/>
  <c r="G15" i="3"/>
  <c r="M103" i="1"/>
  <c r="H93" i="1"/>
  <c r="H87" i="1"/>
  <c r="E71" i="1"/>
  <c r="H53" i="1"/>
  <c r="D113" i="1"/>
  <c r="G115" i="1"/>
  <c r="M115" i="1"/>
  <c r="G113" i="1"/>
  <c r="L113" i="1"/>
  <c r="M23" i="1"/>
  <c r="M15" i="1"/>
  <c r="H13" i="1"/>
  <c r="E115" i="1"/>
  <c r="J111" i="1"/>
  <c r="M111" i="1"/>
  <c r="I103" i="1"/>
  <c r="J103" i="1"/>
  <c r="H103" i="1"/>
  <c r="H101" i="1"/>
  <c r="F95" i="1"/>
  <c r="J87" i="1"/>
  <c r="F79" i="1"/>
  <c r="E79" i="1"/>
  <c r="J66" i="1"/>
  <c r="I23" i="2"/>
  <c r="I71" i="1"/>
  <c r="F71" i="1"/>
  <c r="M63" i="1"/>
  <c r="J63" i="1"/>
  <c r="H60" i="1"/>
  <c r="J60" i="1"/>
  <c r="H63" i="1"/>
  <c r="J55" i="1"/>
  <c r="F115" i="1"/>
  <c r="J115" i="1"/>
  <c r="I47" i="1"/>
  <c r="H47" i="1"/>
  <c r="J47" i="1"/>
  <c r="J45" i="1"/>
  <c r="J39" i="1"/>
  <c r="H39" i="1"/>
  <c r="J37" i="1"/>
  <c r="K113" i="1"/>
  <c r="I31" i="1"/>
  <c r="J31" i="1"/>
  <c r="H31" i="1"/>
  <c r="O14" i="2"/>
  <c r="O23" i="2"/>
  <c r="I23" i="1"/>
  <c r="F23" i="1"/>
  <c r="H21" i="1"/>
  <c r="O35" i="2"/>
  <c r="O44" i="2"/>
  <c r="I15" i="1"/>
  <c r="H15" i="1"/>
  <c r="J15" i="1"/>
  <c r="E15" i="1"/>
  <c r="I115" i="1"/>
  <c r="C113" i="1"/>
  <c r="F114" i="4"/>
  <c r="F114" i="5"/>
  <c r="G114" i="5"/>
  <c r="H114" i="5"/>
  <c r="F113" i="3"/>
  <c r="G113" i="3"/>
  <c r="M113" i="1"/>
  <c r="F113" i="1"/>
  <c r="H113" i="1"/>
  <c r="H95" i="1"/>
  <c r="J95" i="1"/>
  <c r="H79" i="1"/>
  <c r="J79" i="1"/>
  <c r="H71" i="1"/>
  <c r="J71" i="1"/>
  <c r="H115" i="1"/>
  <c r="J23" i="1"/>
  <c r="H23" i="1"/>
  <c r="E113" i="1"/>
  <c r="I113" i="1"/>
  <c r="J113" i="1"/>
</calcChain>
</file>

<file path=xl/sharedStrings.xml><?xml version="1.0" encoding="utf-8"?>
<sst xmlns="http://schemas.openxmlformats.org/spreadsheetml/2006/main" count="241" uniqueCount="80">
  <si>
    <t>MISSOURI GAMING COMMISSION</t>
  </si>
  <si>
    <t>CURR YR</t>
  </si>
  <si>
    <t>CURR</t>
  </si>
  <si>
    <t>PRIOR YR</t>
  </si>
  <si>
    <t>WIN PER</t>
  </si>
  <si>
    <t xml:space="preserve">BOAT </t>
  </si>
  <si>
    <t>YEAR</t>
  </si>
  <si>
    <t>ADMISSIONS</t>
  </si>
  <si>
    <t>% CHG</t>
  </si>
  <si>
    <t>PATRONS</t>
  </si>
  <si>
    <t>ADMISSION</t>
  </si>
  <si>
    <t>PATRON</t>
  </si>
  <si>
    <t>TOTAL AGR</t>
  </si>
  <si>
    <t>ARGOSY</t>
  </si>
  <si>
    <t xml:space="preserve">      TOTALS:</t>
  </si>
  <si>
    <t>IOC - BOONVILLE</t>
  </si>
  <si>
    <t xml:space="preserve">AMERISTAR KC </t>
  </si>
  <si>
    <t>AMERISTAR SC</t>
  </si>
  <si>
    <t>STATE TOTALS FYTD:</t>
  </si>
  <si>
    <t>STATE TOTALS MTD:</t>
  </si>
  <si>
    <t>NOTE:  1)    The figures in this report are subject to adjustment.</t>
  </si>
  <si>
    <t>FISCAL YTD ADMISSION FEES &amp; GAMING TAX BY LICENSED OPERATOR</t>
  </si>
  <si>
    <t>ADMISSIONS FEES</t>
  </si>
  <si>
    <t>STATE</t>
  </si>
  <si>
    <t>MONTH</t>
  </si>
  <si>
    <t>AMERISTAR KC</t>
  </si>
  <si>
    <t>TOTAL</t>
  </si>
  <si>
    <t>TOTALS</t>
  </si>
  <si>
    <t>GAMING TAX</t>
  </si>
  <si>
    <t>NOTE:  THE FIGURES IN THIS REPORT ARE SUBJECT TO ADJUSTMENT</t>
  </si>
  <si>
    <t xml:space="preserve">TABLE GAMES - FISCAL YTD  ANALYSIS OF HOLD % BY BOAT </t>
  </si>
  <si>
    <t>CURR YEAR</t>
  </si>
  <si>
    <t>ACTUAL</t>
  </si>
  <si>
    <t>TABLE DROP</t>
  </si>
  <si>
    <t>TABLE WIN</t>
  </si>
  <si>
    <t>HOLD %</t>
  </si>
  <si>
    <t>ARGOSY RIVERSIDE</t>
  </si>
  <si>
    <t xml:space="preserve">AMERISTAR SC </t>
  </si>
  <si>
    <t>STATE TOTALS FISCAL YTD:</t>
  </si>
  <si>
    <t>STATE TOTALS CURR MONTH:</t>
  </si>
  <si>
    <t>NOTE:  The figures in this report are subject to adjustment.</t>
  </si>
  <si>
    <t>ELECTRONIC GAMING DEVICES</t>
  </si>
  <si>
    <t xml:space="preserve">FISCAL YTD ANALYSIS OF HOLD &amp; PAYOUT % BY BOAT </t>
  </si>
  <si>
    <t>CURRENT YEAR</t>
  </si>
  <si>
    <t>SLOT</t>
  </si>
  <si>
    <t>HANDLE</t>
  </si>
  <si>
    <t>SLOT WIN</t>
  </si>
  <si>
    <t>PAYOUT %</t>
  </si>
  <si>
    <t xml:space="preserve">IOC - BOONVILLE </t>
  </si>
  <si>
    <t>NOTE:    The figures in this report are subject to adjustment.</t>
  </si>
  <si>
    <t>MARK TWAIN</t>
  </si>
  <si>
    <t xml:space="preserve">ST. JO </t>
  </si>
  <si>
    <t>RIVER CITY</t>
  </si>
  <si>
    <t xml:space="preserve">RIVER CITY </t>
  </si>
  <si>
    <t xml:space="preserve">MARK TWAIN </t>
  </si>
  <si>
    <t>HOLLYWOOD</t>
  </si>
  <si>
    <t>ST. JO FRONTIER</t>
  </si>
  <si>
    <t xml:space="preserve">ST. JO FRONTIER </t>
  </si>
  <si>
    <t xml:space="preserve">HOLLYWOOD </t>
  </si>
  <si>
    <t>HYBRID TABLES</t>
  </si>
  <si>
    <t>HARRAHS KC</t>
  </si>
  <si>
    <t xml:space="preserve">CENTURY- CAPE </t>
  </si>
  <si>
    <t>CENTURY-CARUTHERSVILLE</t>
  </si>
  <si>
    <t>CENTURY - CAPE</t>
  </si>
  <si>
    <t>CENTURY-CAPE</t>
  </si>
  <si>
    <t>HYBRID</t>
  </si>
  <si>
    <t>HYBRID WIN</t>
  </si>
  <si>
    <t>BALLY'S KANSAS CITY</t>
  </si>
  <si>
    <t>BALLY'S KC</t>
  </si>
  <si>
    <t>HORSESHOE ST. LOUIS</t>
  </si>
  <si>
    <t>HORSESHOE STL</t>
  </si>
  <si>
    <t xml:space="preserve">FISCAL 2024 YTD ADMISSIONS, PATRONS AND AGR SUMMARY </t>
  </si>
  <si>
    <t>MONTH ENDED:  NOVEMBER 30, 2023</t>
  </si>
  <si>
    <t>FOR THE MONTH ENDED:  NOVEMBER 30, 2023</t>
  </si>
  <si>
    <t>THRU MONTH ENDED:   NOVEMBER 30, 2023</t>
  </si>
  <si>
    <t>THRU MONTH ENDED:    NOVEMBER 30, 2023</t>
  </si>
  <si>
    <t>THRU MONTH ENDED:     NOVEMBER 30, 2023</t>
  </si>
  <si>
    <t>(as reported on the tax remittal database dtd 12/7/23)</t>
  </si>
  <si>
    <t>(as reported on the tax remittal database as of 12/07/23)</t>
  </si>
  <si>
    <t>(as reported on the tax remittal database dtd 12/07/23)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</si>
</sst>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;[Red]\-General"/>
    <numFmt numFmtId="165" formatCode="0.000%"/>
    <numFmt numFmtId="166" formatCode="#,##0.00;[Red]\-#,##0.00"/>
    <numFmt numFmtId="167" formatCode="0.0%"/>
  </numFmts>
  <fonts count="17" x14ac:knownFonts="1">
    <font>
      <sz val="12"/>
      <name val="Arial"/>
    </font>
    <font>
      <b/>
      <sz val="10"/>
      <name val="Arial"/>
    </font>
    <font>
      <sz val="12"/>
      <name val="Arial"/>
    </font>
    <font>
      <b/>
      <sz val="14"/>
      <name val="Arial"/>
    </font>
    <font>
      <b/>
      <i/>
      <sz val="14"/>
      <name val="Arial"/>
    </font>
    <font>
      <b/>
      <sz val="11"/>
      <name val="Arial"/>
    </font>
    <font>
      <b/>
      <sz val="12"/>
      <name val="Arial"/>
    </font>
    <font>
      <b/>
      <u/>
      <sz val="12"/>
      <name val="Arial"/>
    </font>
    <font>
      <b/>
      <sz val="18"/>
      <name val="Arial"/>
    </font>
    <font>
      <b/>
      <i/>
      <u/>
      <sz val="14"/>
      <name val="Arial"/>
    </font>
    <font>
      <b/>
      <i/>
      <u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</borders>
  <cellStyleXfs count="4">
    <xf numFmtId="164" fontId="0" fillId="0" borderId="0"/>
    <xf numFmtId="0" fontId="2" fillId="0" borderId="0"/>
    <xf numFmtId="0" fontId="2" fillId="0" borderId="0"/>
    <xf numFmtId="0" fontId="2" fillId="0" borderId="0"/>
  </cellStyleXfs>
  <cellXfs count="292">
    <xf numFmtId="164" fontId="2" fillId="0" borderId="0" xfId="0" applyNumberFormat="1" applyFont="1" applyAlignment="1" applyProtection="1">
      <protection locked="0"/>
    </xf>
    <xf numFmtId="0" fontId="3" fillId="0" borderId="0" xfId="0" applyNumberFormat="1" applyFont="1" applyAlignment="1"/>
    <xf numFmtId="164" fontId="0" fillId="0" borderId="0" xfId="0" applyFont="1" applyAlignment="1"/>
    <xf numFmtId="164" fontId="0" fillId="0" borderId="0" xfId="0" applyNumberFormat="1" applyFont="1" applyAlignment="1" applyProtection="1">
      <protection locked="0"/>
    </xf>
    <xf numFmtId="0" fontId="4" fillId="0" borderId="0" xfId="0" applyNumberFormat="1" applyFont="1" applyAlignment="1"/>
    <xf numFmtId="164" fontId="1" fillId="0" borderId="0" xfId="0" applyFont="1" applyAlignment="1">
      <alignment horizontal="center"/>
    </xf>
    <xf numFmtId="164" fontId="0" fillId="2" borderId="1" xfId="0" applyFont="1" applyFill="1" applyBorder="1" applyAlignment="1"/>
    <xf numFmtId="164" fontId="5" fillId="2" borderId="2" xfId="0" applyFont="1" applyFill="1" applyBorder="1" applyAlignment="1">
      <alignment horizontal="center"/>
    </xf>
    <xf numFmtId="164" fontId="5" fillId="3" borderId="2" xfId="0" applyFont="1" applyFill="1" applyBorder="1" applyAlignment="1">
      <alignment horizontal="center"/>
    </xf>
    <xf numFmtId="164" fontId="5" fillId="3" borderId="3" xfId="0" applyFont="1" applyFill="1" applyBorder="1" applyAlignment="1">
      <alignment horizontal="center"/>
    </xf>
    <xf numFmtId="164" fontId="0" fillId="0" borderId="0" xfId="0" applyBorder="1"/>
    <xf numFmtId="164" fontId="6" fillId="2" borderId="4" xfId="0" applyFont="1" applyFill="1" applyBorder="1" applyAlignment="1">
      <alignment horizontal="center"/>
    </xf>
    <xf numFmtId="164" fontId="5" fillId="2" borderId="5" xfId="0" applyFont="1" applyFill="1" applyBorder="1" applyAlignment="1">
      <alignment horizontal="center"/>
    </xf>
    <xf numFmtId="164" fontId="0" fillId="3" borderId="5" xfId="0" applyFill="1" applyBorder="1" applyAlignment="1">
      <alignment horizontal="center"/>
    </xf>
    <xf numFmtId="164" fontId="5" fillId="3" borderId="6" xfId="0" applyFont="1" applyFill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3" borderId="2" xfId="0" applyFont="1" applyFill="1" applyBorder="1" applyAlignment="1">
      <alignment horizontal="center"/>
    </xf>
    <xf numFmtId="164" fontId="7" fillId="3" borderId="3" xfId="0" applyFont="1" applyFill="1" applyBorder="1" applyAlignment="1">
      <alignment horizontal="center"/>
    </xf>
    <xf numFmtId="166" fontId="6" fillId="0" borderId="4" xfId="0" applyNumberFormat="1" applyFont="1" applyBorder="1" applyAlignment="1"/>
    <xf numFmtId="17" fontId="0" fillId="0" borderId="5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9" fontId="0" fillId="3" borderId="5" xfId="0" applyNumberFormat="1" applyFont="1" applyFill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9" fontId="0" fillId="3" borderId="6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/>
    <xf numFmtId="164" fontId="0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9" fontId="0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/>
    <xf numFmtId="164" fontId="0" fillId="0" borderId="2" xfId="0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9" fontId="0" fillId="3" borderId="3" xfId="0" applyNumberFormat="1" applyFont="1" applyFill="1" applyBorder="1" applyAlignment="1">
      <alignment horizontal="center"/>
    </xf>
    <xf numFmtId="166" fontId="0" fillId="0" borderId="4" xfId="0" applyNumberFormat="1" applyFont="1" applyBorder="1" applyAlignment="1"/>
    <xf numFmtId="166" fontId="6" fillId="2" borderId="7" xfId="0" applyNumberFormat="1" applyFont="1" applyFill="1" applyBorder="1" applyAlignment="1"/>
    <xf numFmtId="164" fontId="0" fillId="2" borderId="8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9" fontId="6" fillId="3" borderId="8" xfId="0" applyNumberFormat="1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9" fontId="6" fillId="3" borderId="9" xfId="0" applyNumberFormat="1" applyFont="1" applyFill="1" applyBorder="1" applyAlignment="1">
      <alignment horizontal="center"/>
    </xf>
    <xf numFmtId="164" fontId="0" fillId="0" borderId="5" xfId="0" applyFont="1" applyBorder="1" applyAlignment="1">
      <alignment horizontal="center"/>
    </xf>
    <xf numFmtId="9" fontId="0" fillId="3" borderId="10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9" fontId="6" fillId="3" borderId="11" xfId="0" applyNumberFormat="1" applyFont="1" applyFill="1" applyBorder="1" applyAlignment="1">
      <alignment horizontal="center"/>
    </xf>
    <xf numFmtId="4" fontId="6" fillId="2" borderId="10" xfId="0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center"/>
    </xf>
    <xf numFmtId="164" fontId="0" fillId="2" borderId="10" xfId="0" applyFont="1" applyFill="1" applyBorder="1" applyAlignment="1">
      <alignment horizontal="center"/>
    </xf>
    <xf numFmtId="9" fontId="6" fillId="3" borderId="10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3" borderId="2" xfId="0" applyNumberFormat="1" applyFont="1" applyFill="1" applyBorder="1" applyAlignment="1"/>
    <xf numFmtId="164" fontId="0" fillId="3" borderId="3" xfId="0" applyNumberFormat="1" applyFont="1" applyFill="1" applyBorder="1" applyAlignment="1"/>
    <xf numFmtId="164" fontId="0" fillId="0" borderId="4" xfId="0" applyNumberFormat="1" applyBorder="1"/>
    <xf numFmtId="164" fontId="0" fillId="0" borderId="5" xfId="0" applyNumberFormat="1" applyBorder="1"/>
    <xf numFmtId="164" fontId="0" fillId="3" borderId="5" xfId="0" applyNumberFormat="1" applyFont="1" applyFill="1" applyBorder="1" applyAlignment="1"/>
    <xf numFmtId="164" fontId="0" fillId="3" borderId="6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0" fillId="0" borderId="1" xfId="0" applyNumberFormat="1" applyFont="1" applyBorder="1" applyAlignment="1"/>
    <xf numFmtId="166" fontId="6" fillId="2" borderId="1" xfId="0" applyNumberFormat="1" applyFont="1" applyFill="1" applyBorder="1" applyAlignment="1">
      <alignment horizontal="center"/>
    </xf>
    <xf numFmtId="164" fontId="6" fillId="2" borderId="2" xfId="0" applyFont="1" applyFill="1" applyBorder="1" applyAlignment="1">
      <alignment horizontal="center"/>
    </xf>
    <xf numFmtId="166" fontId="0" fillId="0" borderId="13" xfId="0" applyNumberFormat="1" applyFont="1" applyBorder="1" applyAlignment="1"/>
    <xf numFmtId="164" fontId="0" fillId="0" borderId="13" xfId="0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166" fontId="3" fillId="0" borderId="0" xfId="0" applyNumberFormat="1" applyFont="1" applyAlignment="1"/>
    <xf numFmtId="164" fontId="0" fillId="0" borderId="0" xfId="0" applyFont="1" applyAlignment="1">
      <alignment horizontal="center"/>
    </xf>
    <xf numFmtId="4" fontId="6" fillId="0" borderId="0" xfId="0" applyNumberFormat="1" applyFont="1" applyAlignment="1"/>
    <xf numFmtId="0" fontId="6" fillId="0" borderId="0" xfId="0" applyNumberFormat="1" applyFont="1" applyAlignment="1"/>
    <xf numFmtId="17" fontId="0" fillId="0" borderId="0" xfId="0" applyNumberFormat="1" applyFont="1" applyAlignment="1">
      <alignment horizontal="center"/>
    </xf>
    <xf numFmtId="4" fontId="0" fillId="0" borderId="0" xfId="0" applyNumberFormat="1" applyFont="1" applyAlignment="1"/>
    <xf numFmtId="165" fontId="0" fillId="0" borderId="0" xfId="0" applyNumberFormat="1" applyFont="1" applyAlignment="1"/>
    <xf numFmtId="164" fontId="6" fillId="0" borderId="0" xfId="0" applyFont="1" applyAlignment="1"/>
    <xf numFmtId="17" fontId="0" fillId="0" borderId="0" xfId="0" applyNumberFormat="1" applyFont="1" applyAlignment="1"/>
    <xf numFmtId="0" fontId="8" fillId="0" borderId="0" xfId="3" applyFont="1" applyAlignment="1"/>
    <xf numFmtId="0" fontId="2" fillId="0" borderId="0" xfId="3" applyFont="1" applyAlignment="1"/>
    <xf numFmtId="0" fontId="2" fillId="0" borderId="0" xfId="3" applyNumberFormat="1" applyFont="1" applyAlignment="1" applyProtection="1">
      <protection locked="0"/>
    </xf>
    <xf numFmtId="0" fontId="2" fillId="3" borderId="1" xfId="3" applyFont="1" applyFill="1" applyBorder="1" applyAlignment="1"/>
    <xf numFmtId="0" fontId="6" fillId="3" borderId="1" xfId="3" applyFont="1" applyFill="1" applyBorder="1" applyAlignment="1">
      <alignment horizontal="center"/>
    </xf>
    <xf numFmtId="0" fontId="2" fillId="0" borderId="4" xfId="3" applyNumberFormat="1" applyBorder="1"/>
    <xf numFmtId="0" fontId="7" fillId="3" borderId="4" xfId="3" applyFont="1" applyFill="1" applyBorder="1" applyAlignment="1">
      <alignment horizontal="center"/>
    </xf>
    <xf numFmtId="0" fontId="2" fillId="3" borderId="4" xfId="3" applyFont="1" applyFill="1" applyBorder="1" applyAlignment="1"/>
    <xf numFmtId="0" fontId="2" fillId="2" borderId="1" xfId="3" applyFont="1" applyFill="1" applyBorder="1" applyAlignment="1"/>
    <xf numFmtId="0" fontId="2" fillId="0" borderId="1" xfId="3" applyFont="1" applyBorder="1" applyAlignment="1"/>
    <xf numFmtId="17" fontId="2" fillId="0" borderId="14" xfId="3" applyNumberFormat="1" applyFont="1" applyBorder="1" applyAlignment="1">
      <alignment horizontal="center"/>
    </xf>
    <xf numFmtId="3" fontId="2" fillId="0" borderId="14" xfId="3" applyNumberFormat="1" applyFont="1" applyBorder="1" applyAlignment="1">
      <alignment horizontal="center"/>
    </xf>
    <xf numFmtId="3" fontId="6" fillId="0" borderId="14" xfId="3" applyNumberFormat="1" applyFont="1" applyBorder="1" applyAlignment="1">
      <alignment horizontal="center"/>
    </xf>
    <xf numFmtId="17" fontId="7" fillId="0" borderId="14" xfId="3" applyNumberFormat="1" applyFont="1" applyBorder="1" applyAlignment="1">
      <alignment horizontal="center"/>
    </xf>
    <xf numFmtId="17" fontId="6" fillId="0" borderId="14" xfId="3" applyNumberFormat="1" applyFont="1" applyBorder="1" applyAlignment="1">
      <alignment horizontal="center"/>
    </xf>
    <xf numFmtId="17" fontId="2" fillId="0" borderId="13" xfId="3" applyNumberFormat="1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2" fillId="0" borderId="13" xfId="3" applyNumberFormat="1" applyFont="1" applyBorder="1" applyAlignment="1">
      <alignment horizontal="center"/>
    </xf>
    <xf numFmtId="17" fontId="8" fillId="0" borderId="0" xfId="3" applyNumberFormat="1" applyFont="1" applyAlignment="1">
      <alignment horizontal="centerContinuous"/>
    </xf>
    <xf numFmtId="0" fontId="8" fillId="0" borderId="0" xfId="3" applyNumberFormat="1" applyFont="1" applyAlignment="1">
      <alignment horizontal="centerContinuous"/>
    </xf>
    <xf numFmtId="0" fontId="2" fillId="0" borderId="0" xfId="3" applyFont="1" applyAlignment="1">
      <alignment horizontal="center"/>
    </xf>
    <xf numFmtId="0" fontId="2" fillId="0" borderId="0" xfId="3" applyNumberFormat="1" applyFont="1" applyAlignment="1">
      <alignment horizontal="center"/>
    </xf>
    <xf numFmtId="17" fontId="2" fillId="3" borderId="1" xfId="3" applyNumberFormat="1" applyFont="1" applyFill="1" applyBorder="1" applyAlignment="1">
      <alignment horizontal="center"/>
    </xf>
    <xf numFmtId="0" fontId="2" fillId="3" borderId="1" xfId="3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/>
    </xf>
    <xf numFmtId="0" fontId="2" fillId="3" borderId="1" xfId="3" applyNumberFormat="1" applyFont="1" applyFill="1" applyBorder="1" applyAlignment="1">
      <alignment horizontal="center"/>
    </xf>
    <xf numFmtId="0" fontId="6" fillId="3" borderId="1" xfId="3" applyNumberFormat="1" applyFont="1" applyFill="1" applyBorder="1" applyAlignment="1">
      <alignment horizontal="center"/>
    </xf>
    <xf numFmtId="17" fontId="7" fillId="3" borderId="4" xfId="3" applyNumberFormat="1" applyFont="1" applyFill="1" applyBorder="1" applyAlignment="1">
      <alignment horizontal="center"/>
    </xf>
    <xf numFmtId="0" fontId="7" fillId="3" borderId="4" xfId="3" applyNumberFormat="1" applyFont="1" applyFill="1" applyBorder="1" applyAlignment="1">
      <alignment horizontal="center"/>
    </xf>
    <xf numFmtId="17" fontId="2" fillId="3" borderId="4" xfId="3" applyNumberFormat="1" applyFont="1" applyFill="1" applyBorder="1" applyAlignment="1">
      <alignment horizontal="center"/>
    </xf>
    <xf numFmtId="0" fontId="2" fillId="3" borderId="4" xfId="3" applyFont="1" applyFill="1" applyBorder="1" applyAlignment="1">
      <alignment horizontal="center"/>
    </xf>
    <xf numFmtId="0" fontId="2" fillId="3" borderId="4" xfId="3" applyNumberFormat="1" applyFont="1" applyFill="1" applyBorder="1" applyAlignment="1">
      <alignment horizontal="center"/>
    </xf>
    <xf numFmtId="17" fontId="2" fillId="2" borderId="1" xfId="3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2" borderId="1" xfId="3" applyNumberFormat="1" applyFont="1" applyFill="1" applyBorder="1" applyAlignment="1">
      <alignment horizontal="center"/>
    </xf>
    <xf numFmtId="4" fontId="2" fillId="0" borderId="13" xfId="3" applyNumberFormat="1" applyFont="1" applyBorder="1" applyAlignment="1">
      <alignment horizontal="center"/>
    </xf>
    <xf numFmtId="0" fontId="7" fillId="0" borderId="0" xfId="3" applyFont="1" applyAlignment="1">
      <alignment horizontal="left"/>
    </xf>
    <xf numFmtId="0" fontId="3" fillId="0" borderId="0" xfId="2" applyNumberFormat="1" applyFont="1" applyAlignment="1"/>
    <xf numFmtId="0" fontId="2" fillId="0" borderId="0" xfId="2" applyNumberFormat="1" applyFont="1" applyAlignment="1"/>
    <xf numFmtId="0" fontId="2" fillId="0" borderId="0" xfId="2" applyAlignment="1"/>
    <xf numFmtId="0" fontId="4" fillId="0" borderId="0" xfId="2" applyNumberFormat="1" applyFont="1" applyAlignment="1"/>
    <xf numFmtId="0" fontId="2" fillId="2" borderId="1" xfId="2" applyNumberFormat="1" applyFont="1" applyFill="1" applyBorder="1" applyAlignment="1"/>
    <xf numFmtId="0" fontId="6" fillId="2" borderId="2" xfId="2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/>
    </xf>
    <xf numFmtId="0" fontId="2" fillId="0" borderId="4" xfId="2" applyBorder="1"/>
    <xf numFmtId="0" fontId="6" fillId="2" borderId="15" xfId="2" applyNumberFormat="1" applyFont="1" applyFill="1" applyBorder="1" applyAlignment="1">
      <alignment horizontal="center"/>
    </xf>
    <xf numFmtId="0" fontId="6" fillId="2" borderId="16" xfId="2" applyNumberFormat="1" applyFont="1" applyFill="1" applyBorder="1" applyAlignment="1">
      <alignment horizontal="center"/>
    </xf>
    <xf numFmtId="0" fontId="6" fillId="3" borderId="16" xfId="2" applyNumberFormat="1" applyFont="1" applyFill="1" applyBorder="1" applyAlignment="1">
      <alignment horizontal="center"/>
    </xf>
    <xf numFmtId="0" fontId="7" fillId="0" borderId="4" xfId="2" applyNumberFormat="1" applyFont="1" applyBorder="1" applyAlignment="1">
      <alignment horizontal="center"/>
    </xf>
    <xf numFmtId="0" fontId="7" fillId="0" borderId="5" xfId="2" applyNumberFormat="1" applyFont="1" applyBorder="1" applyAlignment="1">
      <alignment horizontal="center"/>
    </xf>
    <xf numFmtId="0" fontId="7" fillId="3" borderId="5" xfId="2" applyNumberFormat="1" applyFont="1" applyFill="1" applyBorder="1" applyAlignment="1">
      <alignment horizontal="center"/>
    </xf>
    <xf numFmtId="166" fontId="6" fillId="0" borderId="4" xfId="2" applyNumberFormat="1" applyFont="1" applyBorder="1" applyAlignment="1"/>
    <xf numFmtId="17" fontId="2" fillId="0" borderId="5" xfId="2" applyNumberFormat="1" applyFont="1" applyBorder="1" applyAlignment="1">
      <alignment horizontal="center"/>
    </xf>
    <xf numFmtId="9" fontId="2" fillId="3" borderId="5" xfId="2" applyNumberFormat="1" applyFont="1" applyFill="1" applyBorder="1" applyAlignment="1">
      <alignment horizontal="center"/>
    </xf>
    <xf numFmtId="166" fontId="2" fillId="0" borderId="4" xfId="2" applyNumberFormat="1" applyFont="1" applyBorder="1" applyAlignment="1"/>
    <xf numFmtId="0" fontId="2" fillId="0" borderId="5" xfId="2" applyNumberFormat="1" applyFont="1" applyBorder="1" applyAlignment="1">
      <alignment horizontal="center"/>
    </xf>
    <xf numFmtId="166" fontId="6" fillId="2" borderId="1" xfId="2" applyNumberFormat="1" applyFont="1" applyFill="1" applyBorder="1" applyAlignment="1"/>
    <xf numFmtId="0" fontId="2" fillId="2" borderId="2" xfId="2" applyNumberFormat="1" applyFont="1" applyFill="1" applyBorder="1" applyAlignment="1">
      <alignment horizontal="center"/>
    </xf>
    <xf numFmtId="9" fontId="6" fillId="3" borderId="2" xfId="2" applyNumberFormat="1" applyFont="1" applyFill="1" applyBorder="1" applyAlignment="1">
      <alignment horizontal="center"/>
    </xf>
    <xf numFmtId="166" fontId="6" fillId="0" borderId="1" xfId="2" applyNumberFormat="1" applyFont="1" applyBorder="1" applyAlignment="1"/>
    <xf numFmtId="0" fontId="2" fillId="0" borderId="2" xfId="2" applyNumberFormat="1" applyFont="1" applyBorder="1" applyAlignment="1">
      <alignment horizontal="center"/>
    </xf>
    <xf numFmtId="9" fontId="2" fillId="3" borderId="2" xfId="2" applyNumberFormat="1" applyFont="1" applyFill="1" applyBorder="1" applyAlignment="1">
      <alignment horizontal="center"/>
    </xf>
    <xf numFmtId="166" fontId="6" fillId="2" borderId="7" xfId="2" applyNumberFormat="1" applyFont="1" applyFill="1" applyBorder="1" applyAlignment="1"/>
    <xf numFmtId="0" fontId="2" fillId="2" borderId="8" xfId="2" applyNumberFormat="1" applyFont="1" applyFill="1" applyBorder="1" applyAlignment="1">
      <alignment horizontal="center"/>
    </xf>
    <xf numFmtId="9" fontId="6" fillId="3" borderId="8" xfId="2" applyNumberFormat="1" applyFont="1" applyFill="1" applyBorder="1" applyAlignment="1">
      <alignment horizontal="center"/>
    </xf>
    <xf numFmtId="166" fontId="6" fillId="2" borderId="12" xfId="2" applyNumberFormat="1" applyFont="1" applyFill="1" applyBorder="1" applyAlignment="1"/>
    <xf numFmtId="0" fontId="2" fillId="2" borderId="10" xfId="2" applyNumberFormat="1" applyFont="1" applyFill="1" applyBorder="1" applyAlignment="1">
      <alignment horizontal="center"/>
    </xf>
    <xf numFmtId="166" fontId="2" fillId="0" borderId="1" xfId="2" applyNumberFormat="1" applyFont="1" applyBorder="1" applyAlignment="1"/>
    <xf numFmtId="166" fontId="6" fillId="2" borderId="1" xfId="2" applyNumberFormat="1" applyFont="1" applyFill="1" applyBorder="1" applyAlignment="1">
      <alignment horizontal="center"/>
    </xf>
    <xf numFmtId="4" fontId="6" fillId="0" borderId="0" xfId="2" applyNumberFormat="1" applyFont="1" applyAlignment="1"/>
    <xf numFmtId="0" fontId="3" fillId="0" borderId="0" xfId="1" applyNumberFormat="1" applyFont="1" applyAlignment="1"/>
    <xf numFmtId="0" fontId="2" fillId="0" borderId="0" xfId="1" applyNumberFormat="1" applyFont="1" applyAlignment="1"/>
    <xf numFmtId="0" fontId="2" fillId="0" borderId="0" xfId="1"/>
    <xf numFmtId="0" fontId="2" fillId="0" borderId="0" xfId="1" applyAlignment="1"/>
    <xf numFmtId="0" fontId="4" fillId="0" borderId="0" xfId="1" applyNumberFormat="1" applyFont="1" applyAlignment="1"/>
    <xf numFmtId="0" fontId="6" fillId="2" borderId="1" xfId="1" applyNumberFormat="1" applyFont="1" applyFill="1" applyBorder="1" applyAlignment="1">
      <alignment horizontal="center"/>
    </xf>
    <xf numFmtId="0" fontId="6" fillId="2" borderId="2" xfId="1" applyNumberFormat="1" applyFont="1" applyFill="1" applyBorder="1" applyAlignment="1">
      <alignment horizontal="center"/>
    </xf>
    <xf numFmtId="0" fontId="6" fillId="3" borderId="2" xfId="1" applyNumberFormat="1" applyFont="1" applyFill="1" applyBorder="1" applyAlignment="1">
      <alignment horizontal="center"/>
    </xf>
    <xf numFmtId="0" fontId="2" fillId="0" borderId="0" xfId="1" applyBorder="1"/>
    <xf numFmtId="0" fontId="6" fillId="2" borderId="4" xfId="1" applyNumberFormat="1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horizontal="center"/>
    </xf>
    <xf numFmtId="0" fontId="6" fillId="3" borderId="5" xfId="1" applyNumberFormat="1" applyFont="1" applyFill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7" fillId="3" borderId="2" xfId="1" applyNumberFormat="1" applyFont="1" applyFill="1" applyBorder="1" applyAlignment="1">
      <alignment horizontal="center"/>
    </xf>
    <xf numFmtId="166" fontId="6" fillId="0" borderId="4" xfId="1" applyNumberFormat="1" applyFont="1" applyBorder="1" applyAlignment="1"/>
    <xf numFmtId="17" fontId="2" fillId="0" borderId="5" xfId="1" applyNumberFormat="1" applyFont="1" applyBorder="1" applyAlignment="1">
      <alignment horizontal="center"/>
    </xf>
    <xf numFmtId="9" fontId="2" fillId="3" borderId="5" xfId="1" applyNumberFormat="1" applyFont="1" applyFill="1" applyBorder="1" applyAlignment="1">
      <alignment horizontal="center"/>
    </xf>
    <xf numFmtId="166" fontId="2" fillId="0" borderId="4" xfId="1" applyNumberFormat="1" applyFont="1" applyBorder="1" applyAlignment="1"/>
    <xf numFmtId="0" fontId="2" fillId="0" borderId="5" xfId="1" applyNumberFormat="1" applyFont="1" applyBorder="1" applyAlignment="1">
      <alignment horizontal="center"/>
    </xf>
    <xf numFmtId="166" fontId="6" fillId="2" borderId="1" xfId="1" applyNumberFormat="1" applyFont="1" applyFill="1" applyBorder="1" applyAlignment="1"/>
    <xf numFmtId="9" fontId="6" fillId="3" borderId="2" xfId="1" applyNumberFormat="1" applyFont="1" applyFill="1" applyBorder="1" applyAlignment="1">
      <alignment horizontal="center"/>
    </xf>
    <xf numFmtId="166" fontId="2" fillId="0" borderId="1" xfId="1" applyNumberFormat="1" applyFont="1" applyBorder="1" applyAlignment="1"/>
    <xf numFmtId="0" fontId="2" fillId="0" borderId="2" xfId="1" applyNumberFormat="1" applyFont="1" applyBorder="1" applyAlignment="1">
      <alignment horizontal="center"/>
    </xf>
    <xf numFmtId="9" fontId="2" fillId="3" borderId="2" xfId="1" applyNumberFormat="1" applyFont="1" applyFill="1" applyBorder="1" applyAlignment="1">
      <alignment horizontal="center"/>
    </xf>
    <xf numFmtId="166" fontId="6" fillId="2" borderId="7" xfId="1" applyNumberFormat="1" applyFont="1" applyFill="1" applyBorder="1" applyAlignment="1"/>
    <xf numFmtId="0" fontId="6" fillId="2" borderId="8" xfId="1" applyNumberFormat="1" applyFont="1" applyFill="1" applyBorder="1" applyAlignment="1">
      <alignment horizontal="center"/>
    </xf>
    <xf numFmtId="9" fontId="6" fillId="3" borderId="8" xfId="1" applyNumberFormat="1" applyFont="1" applyFill="1" applyBorder="1" applyAlignment="1">
      <alignment horizontal="center"/>
    </xf>
    <xf numFmtId="0" fontId="6" fillId="0" borderId="4" xfId="1" applyNumberFormat="1" applyFont="1" applyBorder="1" applyAlignment="1"/>
    <xf numFmtId="17" fontId="6" fillId="2" borderId="8" xfId="1" applyNumberFormat="1" applyFont="1" applyFill="1" applyBorder="1" applyAlignment="1">
      <alignment horizontal="center"/>
    </xf>
    <xf numFmtId="0" fontId="2" fillId="0" borderId="5" xfId="1" applyBorder="1"/>
    <xf numFmtId="0" fontId="2" fillId="3" borderId="5" xfId="1" applyFont="1" applyFill="1" applyBorder="1" applyAlignment="1"/>
    <xf numFmtId="0" fontId="2" fillId="2" borderId="8" xfId="1" applyNumberFormat="1" applyFont="1" applyFill="1" applyBorder="1" applyAlignment="1">
      <alignment horizontal="center"/>
    </xf>
    <xf numFmtId="166" fontId="6" fillId="2" borderId="12" xfId="1" applyNumberFormat="1" applyFont="1" applyFill="1" applyBorder="1" applyAlignment="1"/>
    <xf numFmtId="0" fontId="6" fillId="2" borderId="10" xfId="1" applyNumberFormat="1" applyFont="1" applyFill="1" applyBorder="1" applyAlignment="1">
      <alignment horizontal="center"/>
    </xf>
    <xf numFmtId="166" fontId="6" fillId="2" borderId="1" xfId="1" applyNumberFormat="1" applyFont="1" applyFill="1" applyBorder="1" applyAlignment="1">
      <alignment horizontal="center"/>
    </xf>
    <xf numFmtId="166" fontId="6" fillId="0" borderId="13" xfId="1" applyNumberFormat="1" applyFont="1" applyBorder="1" applyAlignment="1"/>
    <xf numFmtId="0" fontId="6" fillId="0" borderId="13" xfId="1" applyNumberFormat="1" applyFont="1" applyBorder="1" applyAlignment="1">
      <alignment horizontal="center"/>
    </xf>
    <xf numFmtId="4" fontId="6" fillId="0" borderId="13" xfId="1" applyNumberFormat="1" applyFont="1" applyBorder="1" applyAlignment="1">
      <alignment horizontal="center"/>
    </xf>
    <xf numFmtId="0" fontId="9" fillId="0" borderId="0" xfId="1" applyNumberFormat="1" applyFont="1" applyAlignment="1"/>
    <xf numFmtId="17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6" fillId="0" borderId="0" xfId="1" applyNumberFormat="1" applyFont="1" applyAlignment="1"/>
    <xf numFmtId="3" fontId="0" fillId="0" borderId="0" xfId="0" applyNumberFormat="1" applyFont="1" applyAlignment="1"/>
    <xf numFmtId="3" fontId="5" fillId="2" borderId="2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6" fillId="0" borderId="0" xfId="0" applyNumberFormat="1" applyFont="1" applyAlignment="1"/>
    <xf numFmtId="3" fontId="0" fillId="0" borderId="0" xfId="0" applyNumberFormat="1" applyFont="1" applyAlignment="1" applyProtection="1">
      <protection locked="0"/>
    </xf>
    <xf numFmtId="3" fontId="2" fillId="0" borderId="0" xfId="2" applyNumberFormat="1" applyFont="1" applyAlignment="1"/>
    <xf numFmtId="3" fontId="6" fillId="2" borderId="2" xfId="2" applyNumberFormat="1" applyFont="1" applyFill="1" applyBorder="1" applyAlignment="1">
      <alignment horizontal="center"/>
    </xf>
    <xf numFmtId="3" fontId="6" fillId="2" borderId="16" xfId="2" applyNumberFormat="1" applyFont="1" applyFill="1" applyBorder="1" applyAlignment="1">
      <alignment horizontal="center"/>
    </xf>
    <xf numFmtId="3" fontId="7" fillId="0" borderId="5" xfId="2" applyNumberFormat="1" applyFont="1" applyBorder="1" applyAlignment="1">
      <alignment horizontal="center"/>
    </xf>
    <xf numFmtId="3" fontId="2" fillId="0" borderId="5" xfId="2" applyNumberFormat="1" applyFont="1" applyBorder="1" applyAlignment="1">
      <alignment horizontal="center"/>
    </xf>
    <xf numFmtId="3" fontId="2" fillId="0" borderId="2" xfId="2" applyNumberFormat="1" applyFont="1" applyBorder="1" applyAlignment="1">
      <alignment horizontal="center"/>
    </xf>
    <xf numFmtId="3" fontId="6" fillId="2" borderId="8" xfId="2" applyNumberFormat="1" applyFont="1" applyFill="1" applyBorder="1" applyAlignment="1">
      <alignment horizontal="center"/>
    </xf>
    <xf numFmtId="3" fontId="6" fillId="2" borderId="10" xfId="2" applyNumberFormat="1" applyFont="1" applyFill="1" applyBorder="1" applyAlignment="1">
      <alignment horizontal="center"/>
    </xf>
    <xf numFmtId="3" fontId="6" fillId="0" borderId="0" xfId="2" applyNumberFormat="1" applyFont="1" applyAlignment="1"/>
    <xf numFmtId="3" fontId="2" fillId="0" borderId="0" xfId="2" applyNumberFormat="1" applyAlignment="1"/>
    <xf numFmtId="167" fontId="2" fillId="0" borderId="0" xfId="2" applyNumberFormat="1" applyFont="1" applyAlignment="1"/>
    <xf numFmtId="167" fontId="6" fillId="0" borderId="0" xfId="2" applyNumberFormat="1" applyFont="1" applyAlignment="1">
      <alignment horizontal="center"/>
    </xf>
    <xf numFmtId="167" fontId="6" fillId="2" borderId="2" xfId="2" applyNumberFormat="1" applyFont="1" applyFill="1" applyBorder="1" applyAlignment="1">
      <alignment horizontal="center"/>
    </xf>
    <xf numFmtId="167" fontId="6" fillId="2" borderId="17" xfId="2" applyNumberFormat="1" applyFont="1" applyFill="1" applyBorder="1" applyAlignment="1">
      <alignment horizontal="center"/>
    </xf>
    <xf numFmtId="167" fontId="7" fillId="0" borderId="6" xfId="2" applyNumberFormat="1" applyFont="1" applyBorder="1" applyAlignment="1">
      <alignment horizontal="center"/>
    </xf>
    <xf numFmtId="167" fontId="2" fillId="0" borderId="5" xfId="2" applyNumberFormat="1" applyFont="1" applyBorder="1" applyAlignment="1">
      <alignment horizontal="center"/>
    </xf>
    <xf numFmtId="167" fontId="2" fillId="0" borderId="2" xfId="2" applyNumberFormat="1" applyFont="1" applyBorder="1" applyAlignment="1">
      <alignment horizontal="center"/>
    </xf>
    <xf numFmtId="167" fontId="6" fillId="2" borderId="9" xfId="2" applyNumberFormat="1" applyFont="1" applyFill="1" applyBorder="1" applyAlignment="1">
      <alignment horizontal="center"/>
    </xf>
    <xf numFmtId="167" fontId="2" fillId="0" borderId="6" xfId="2" applyNumberFormat="1" applyFont="1" applyBorder="1" applyAlignment="1">
      <alignment horizontal="center"/>
    </xf>
    <xf numFmtId="167" fontId="2" fillId="0" borderId="3" xfId="2" applyNumberFormat="1" applyFont="1" applyBorder="1" applyAlignment="1">
      <alignment horizontal="center"/>
    </xf>
    <xf numFmtId="167" fontId="6" fillId="0" borderId="0" xfId="2" applyNumberFormat="1" applyFont="1" applyAlignment="1"/>
    <xf numFmtId="167" fontId="2" fillId="0" borderId="0" xfId="2" applyNumberFormat="1" applyAlignment="1"/>
    <xf numFmtId="3" fontId="2" fillId="0" borderId="0" xfId="1" applyNumberFormat="1" applyFont="1" applyAlignment="1"/>
    <xf numFmtId="3" fontId="6" fillId="2" borderId="2" xfId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3" fontId="6" fillId="2" borderId="8" xfId="1" applyNumberFormat="1" applyFont="1" applyFill="1" applyBorder="1" applyAlignment="1">
      <alignment horizontal="center"/>
    </xf>
    <xf numFmtId="3" fontId="2" fillId="0" borderId="5" xfId="1" applyNumberFormat="1" applyBorder="1"/>
    <xf numFmtId="3" fontId="6" fillId="2" borderId="10" xfId="1" applyNumberFormat="1" applyFont="1" applyFill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2" fillId="0" borderId="0" xfId="1" applyNumberFormat="1" applyAlignment="1"/>
    <xf numFmtId="167" fontId="2" fillId="0" borderId="0" xfId="1" applyNumberFormat="1" applyFont="1" applyAlignment="1"/>
    <xf numFmtId="167" fontId="6" fillId="0" borderId="0" xfId="1" applyNumberFormat="1" applyFont="1" applyAlignment="1">
      <alignment horizontal="centerContinuous"/>
    </xf>
    <xf numFmtId="167" fontId="6" fillId="2" borderId="2" xfId="1" applyNumberFormat="1" applyFont="1" applyFill="1" applyBorder="1" applyAlignment="1">
      <alignment horizontal="center"/>
    </xf>
    <xf numFmtId="167" fontId="6" fillId="2" borderId="3" xfId="1" applyNumberFormat="1" applyFont="1" applyFill="1" applyBorder="1" applyAlignment="1">
      <alignment horizontal="center"/>
    </xf>
    <xf numFmtId="167" fontId="6" fillId="2" borderId="5" xfId="1" applyNumberFormat="1" applyFont="1" applyFill="1" applyBorder="1" applyAlignment="1">
      <alignment horizontal="center"/>
    </xf>
    <xf numFmtId="167" fontId="7" fillId="0" borderId="2" xfId="1" applyNumberFormat="1" applyFont="1" applyBorder="1" applyAlignment="1">
      <alignment horizontal="center"/>
    </xf>
    <xf numFmtId="167" fontId="7" fillId="0" borderId="3" xfId="1" applyNumberFormat="1" applyFont="1" applyBorder="1" applyAlignment="1">
      <alignment horizontal="center"/>
    </xf>
    <xf numFmtId="167" fontId="2" fillId="0" borderId="5" xfId="1" applyNumberFormat="1" applyFont="1" applyBorder="1" applyAlignment="1">
      <alignment horizontal="center"/>
    </xf>
    <xf numFmtId="167" fontId="2" fillId="0" borderId="6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7" fontId="2" fillId="0" borderId="3" xfId="1" applyNumberFormat="1" applyFont="1" applyBorder="1" applyAlignment="1">
      <alignment horizontal="center"/>
    </xf>
    <xf numFmtId="167" fontId="6" fillId="2" borderId="8" xfId="1" applyNumberFormat="1" applyFont="1" applyFill="1" applyBorder="1" applyAlignment="1">
      <alignment horizontal="center"/>
    </xf>
    <xf numFmtId="167" fontId="6" fillId="2" borderId="9" xfId="1" applyNumberFormat="1" applyFont="1" applyFill="1" applyBorder="1" applyAlignment="1">
      <alignment horizontal="center"/>
    </xf>
    <xf numFmtId="167" fontId="2" fillId="0" borderId="5" xfId="1" applyNumberFormat="1" applyBorder="1"/>
    <xf numFmtId="167" fontId="2" fillId="0" borderId="6" xfId="1" applyNumberFormat="1" applyBorder="1"/>
    <xf numFmtId="167" fontId="6" fillId="2" borderId="10" xfId="1" applyNumberFormat="1" applyFont="1" applyFill="1" applyBorder="1" applyAlignment="1">
      <alignment horizontal="center"/>
    </xf>
    <xf numFmtId="167" fontId="6" fillId="0" borderId="13" xfId="1" applyNumberFormat="1" applyFont="1" applyBorder="1" applyAlignment="1">
      <alignment horizontal="center"/>
    </xf>
    <xf numFmtId="167" fontId="6" fillId="0" borderId="0" xfId="1" applyNumberFormat="1" applyFont="1" applyAlignment="1">
      <alignment horizontal="center"/>
    </xf>
    <xf numFmtId="167" fontId="2" fillId="0" borderId="0" xfId="1" applyNumberFormat="1" applyAlignment="1"/>
    <xf numFmtId="167" fontId="6" fillId="2" borderId="3" xfId="1" applyNumberFormat="1" applyFont="1" applyFill="1" applyBorder="1" applyAlignment="1"/>
    <xf numFmtId="167" fontId="6" fillId="2" borderId="6" xfId="1" applyNumberFormat="1" applyFont="1" applyFill="1" applyBorder="1" applyAlignment="1"/>
    <xf numFmtId="166" fontId="6" fillId="0" borderId="18" xfId="2" applyNumberFormat="1" applyFont="1" applyBorder="1" applyAlignment="1"/>
    <xf numFmtId="166" fontId="6" fillId="0" borderId="0" xfId="1" applyNumberFormat="1" applyFont="1" applyBorder="1" applyAlignment="1"/>
    <xf numFmtId="167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center"/>
    </xf>
    <xf numFmtId="3" fontId="6" fillId="2" borderId="11" xfId="2" applyNumberFormat="1" applyFont="1" applyFill="1" applyBorder="1" applyAlignment="1">
      <alignment horizontal="center"/>
    </xf>
    <xf numFmtId="3" fontId="6" fillId="2" borderId="19" xfId="2" applyNumberFormat="1" applyFont="1" applyFill="1" applyBorder="1" applyAlignment="1">
      <alignment horizontal="center"/>
    </xf>
    <xf numFmtId="166" fontId="10" fillId="0" borderId="0" xfId="2" applyNumberFormat="1" applyFont="1" applyAlignment="1"/>
    <xf numFmtId="166" fontId="10" fillId="0" borderId="0" xfId="0" applyNumberFormat="1" applyFont="1" applyAlignment="1"/>
    <xf numFmtId="166" fontId="6" fillId="2" borderId="7" xfId="2" applyNumberFormat="1" applyFont="1" applyFill="1" applyBorder="1" applyAlignment="1">
      <alignment horizontal="center"/>
    </xf>
    <xf numFmtId="0" fontId="6" fillId="2" borderId="8" xfId="2" applyNumberFormat="1" applyFont="1" applyFill="1" applyBorder="1" applyAlignment="1">
      <alignment horizontal="center"/>
    </xf>
    <xf numFmtId="167" fontId="6" fillId="2" borderId="20" xfId="2" applyNumberFormat="1" applyFont="1" applyFill="1" applyBorder="1" applyAlignment="1">
      <alignment horizontal="center"/>
    </xf>
    <xf numFmtId="9" fontId="6" fillId="3" borderId="10" xfId="2" applyNumberFormat="1" applyFont="1" applyFill="1" applyBorder="1" applyAlignment="1">
      <alignment horizontal="center"/>
    </xf>
    <xf numFmtId="9" fontId="6" fillId="3" borderId="21" xfId="2" applyNumberFormat="1" applyFont="1" applyFill="1" applyBorder="1" applyAlignment="1">
      <alignment horizontal="center"/>
    </xf>
    <xf numFmtId="167" fontId="6" fillId="2" borderId="20" xfId="1" applyNumberFormat="1" applyFont="1" applyFill="1" applyBorder="1" applyAlignment="1">
      <alignment horizontal="center"/>
    </xf>
    <xf numFmtId="3" fontId="6" fillId="2" borderId="11" xfId="1" applyNumberFormat="1" applyFont="1" applyFill="1" applyBorder="1" applyAlignment="1">
      <alignment horizontal="center"/>
    </xf>
    <xf numFmtId="9" fontId="6" fillId="3" borderId="10" xfId="1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/>
    <xf numFmtId="166" fontId="11" fillId="0" borderId="4" xfId="0" applyNumberFormat="1" applyFont="1" applyBorder="1" applyAlignment="1"/>
    <xf numFmtId="0" fontId="12" fillId="3" borderId="4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13" fillId="0" borderId="0" xfId="0" applyNumberFormat="1" applyFont="1" applyAlignment="1"/>
    <xf numFmtId="0" fontId="14" fillId="0" borderId="0" xfId="0" applyNumberFormat="1" applyFont="1" applyAlignment="1"/>
    <xf numFmtId="9" fontId="11" fillId="3" borderId="2" xfId="0" applyNumberFormat="1" applyFont="1" applyFill="1" applyBorder="1" applyAlignment="1">
      <alignment horizontal="center"/>
    </xf>
    <xf numFmtId="9" fontId="11" fillId="3" borderId="8" xfId="0" applyNumberFormat="1" applyFont="1" applyFill="1" applyBorder="1" applyAlignment="1">
      <alignment horizontal="center"/>
    </xf>
    <xf numFmtId="9" fontId="11" fillId="3" borderId="10" xfId="0" applyNumberFormat="1" applyFont="1" applyFill="1" applyBorder="1" applyAlignment="1">
      <alignment horizontal="center"/>
    </xf>
    <xf numFmtId="0" fontId="15" fillId="0" borderId="0" xfId="3" applyFont="1" applyAlignment="1"/>
    <xf numFmtId="0" fontId="13" fillId="0" borderId="0" xfId="2" applyNumberFormat="1" applyFont="1" applyAlignment="1"/>
    <xf numFmtId="0" fontId="14" fillId="0" borderId="0" xfId="2" applyNumberFormat="1" applyFont="1" applyAlignment="1"/>
    <xf numFmtId="0" fontId="13" fillId="0" borderId="0" xfId="1" applyNumberFormat="1" applyFont="1" applyAlignment="1"/>
    <xf numFmtId="0" fontId="14" fillId="0" borderId="0" xfId="1" applyNumberFormat="1" applyFont="1" applyAlignment="1"/>
    <xf numFmtId="4" fontId="2" fillId="0" borderId="0" xfId="3" applyNumberFormat="1" applyFont="1" applyBorder="1" applyAlignment="1">
      <alignment horizontal="center"/>
    </xf>
    <xf numFmtId="4" fontId="16" fillId="0" borderId="0" xfId="3" applyNumberFormat="1" applyFont="1" applyBorder="1" applyAlignment="1">
      <alignment horizontal="left"/>
    </xf>
    <xf numFmtId="167" fontId="0" fillId="0" borderId="6" xfId="1" applyNumberFormat="1" applyFont="1" applyBorder="1" applyAlignment="1">
      <alignment horizontal="center"/>
    </xf>
    <xf numFmtId="166" fontId="11" fillId="0" borderId="4" xfId="1" applyNumberFormat="1" applyFont="1" applyBorder="1" applyAlignment="1"/>
    <xf numFmtId="4" fontId="0" fillId="0" borderId="10" xfId="0" applyNumberFormat="1" applyFont="1" applyBorder="1" applyAlignment="1">
      <alignment horizontal="center"/>
    </xf>
  </cellXfs>
  <cellStyles count="4">
    <cellStyle name="Normal" xfId="0" builtinId="0"/>
    <cellStyle name="Normal_SLOT STATS" xfId="1"/>
    <cellStyle name="Normal_TABLE STATS" xfId="2"/>
    <cellStyle name="Normal_YTD TAX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387"/>
  <sheetViews>
    <sheetView tabSelected="1" showOutlineSymbols="0" zoomScaleNormal="100" workbookViewId="0">
      <selection activeCell="B9" sqref="B9"/>
    </sheetView>
  </sheetViews>
  <sheetFormatPr defaultColWidth="9.6640625" defaultRowHeight="15" x14ac:dyDescent="0.2"/>
  <cols>
    <col min="1" max="1" width="26.44140625" style="3" customWidth="1"/>
    <col min="2" max="2" width="8.6640625" style="3" customWidth="1"/>
    <col min="3" max="4" width="13.6640625" style="3" customWidth="1"/>
    <col min="5" max="5" width="7.6640625" style="3" customWidth="1"/>
    <col min="6" max="7" width="13.6640625" style="3" customWidth="1"/>
    <col min="8" max="8" width="7.6640625" style="3" customWidth="1"/>
    <col min="9" max="10" width="11.6640625" style="3" customWidth="1"/>
    <col min="11" max="12" width="16.6640625" style="199" customWidth="1"/>
    <col min="13" max="13" width="7.6640625" style="3" customWidth="1"/>
    <col min="14" max="14" width="11.6640625" style="3" customWidth="1"/>
    <col min="15" max="15" width="7.6640625" style="3" customWidth="1"/>
    <col min="16" max="16" width="15.6640625" style="3" customWidth="1"/>
    <col min="17" max="17" width="7.6640625" style="3" customWidth="1"/>
    <col min="18" max="16384" width="9.6640625" style="3"/>
  </cols>
  <sheetData>
    <row r="1" spans="1:18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92"/>
      <c r="L1" s="192"/>
      <c r="M1" s="2"/>
      <c r="N1" s="2"/>
      <c r="O1" s="2"/>
      <c r="P1" s="2"/>
      <c r="Q1" s="2"/>
      <c r="R1" s="2"/>
    </row>
    <row r="2" spans="1:18" ht="18" customHeight="1" x14ac:dyDescent="0.3">
      <c r="A2" s="4" t="s">
        <v>71</v>
      </c>
      <c r="B2" s="2"/>
      <c r="C2" s="2"/>
      <c r="D2" s="2"/>
      <c r="E2" s="2"/>
      <c r="F2" s="2"/>
      <c r="G2" s="2"/>
      <c r="H2" s="2"/>
      <c r="I2" s="2"/>
      <c r="J2" s="2"/>
      <c r="K2" s="192"/>
      <c r="L2" s="192"/>
      <c r="M2" s="2"/>
      <c r="N2" s="2"/>
      <c r="O2" s="2"/>
      <c r="P2" s="2"/>
      <c r="Q2" s="2"/>
      <c r="R2" s="2"/>
    </row>
    <row r="3" spans="1:18" ht="18" x14ac:dyDescent="0.25">
      <c r="A3" s="277" t="s">
        <v>72</v>
      </c>
      <c r="B3" s="2"/>
      <c r="C3" s="2"/>
      <c r="D3" s="2"/>
      <c r="E3" s="2"/>
      <c r="F3" s="2"/>
      <c r="G3" s="2"/>
      <c r="H3" s="2"/>
      <c r="I3" s="2"/>
      <c r="J3" s="2"/>
      <c r="K3" s="192"/>
      <c r="L3" s="192"/>
      <c r="M3" s="2"/>
      <c r="N3" s="2"/>
      <c r="O3" s="2"/>
      <c r="P3" s="2"/>
      <c r="Q3" s="2"/>
      <c r="R3" s="2"/>
    </row>
    <row r="4" spans="1:18" x14ac:dyDescent="0.2">
      <c r="A4" s="278" t="s">
        <v>77</v>
      </c>
      <c r="B4" s="2"/>
      <c r="C4" s="2"/>
      <c r="D4" s="2"/>
      <c r="E4" s="2"/>
      <c r="F4" s="2"/>
      <c r="G4" s="2"/>
      <c r="H4" s="2"/>
      <c r="I4" s="2"/>
      <c r="J4" s="2"/>
      <c r="K4" s="192"/>
      <c r="L4" s="192"/>
      <c r="M4" s="2"/>
      <c r="N4" s="2"/>
      <c r="O4" s="2"/>
      <c r="P4" s="2"/>
      <c r="Q4" s="2"/>
      <c r="R4" s="2"/>
    </row>
    <row r="5" spans="1:18" ht="15.75" thickBot="1" x14ac:dyDescent="0.25">
      <c r="A5" s="2"/>
      <c r="B5" s="2"/>
      <c r="C5" s="2"/>
      <c r="D5" s="2"/>
      <c r="E5" s="2"/>
      <c r="F5" s="2"/>
      <c r="G5" s="2"/>
      <c r="H5" s="2"/>
      <c r="I5" s="5" t="s">
        <v>1</v>
      </c>
      <c r="J5" s="5" t="s">
        <v>1</v>
      </c>
      <c r="K5" s="192"/>
      <c r="L5" s="192"/>
      <c r="M5" s="2"/>
      <c r="N5" s="2"/>
      <c r="O5" s="2"/>
      <c r="P5" s="2"/>
      <c r="Q5" s="2"/>
      <c r="R5" s="2"/>
    </row>
    <row r="6" spans="1:18" ht="16.5" thickTop="1" x14ac:dyDescent="0.25">
      <c r="A6" s="6"/>
      <c r="B6" s="7" t="s">
        <v>2</v>
      </c>
      <c r="C6" s="7" t="s">
        <v>1</v>
      </c>
      <c r="D6" s="7" t="s">
        <v>3</v>
      </c>
      <c r="E6" s="8"/>
      <c r="F6" s="7" t="s">
        <v>1</v>
      </c>
      <c r="G6" s="7" t="s">
        <v>3</v>
      </c>
      <c r="H6" s="8"/>
      <c r="I6" s="7" t="s">
        <v>4</v>
      </c>
      <c r="J6" s="7" t="s">
        <v>4</v>
      </c>
      <c r="K6" s="193" t="s">
        <v>1</v>
      </c>
      <c r="L6" s="193" t="s">
        <v>3</v>
      </c>
      <c r="M6" s="9"/>
      <c r="N6" s="10"/>
      <c r="R6" s="2"/>
    </row>
    <row r="7" spans="1:18" ht="16.5" thickBot="1" x14ac:dyDescent="0.3">
      <c r="A7" s="11" t="s">
        <v>5</v>
      </c>
      <c r="B7" s="12" t="s">
        <v>6</v>
      </c>
      <c r="C7" s="12" t="s">
        <v>7</v>
      </c>
      <c r="D7" s="12" t="s">
        <v>7</v>
      </c>
      <c r="E7" s="13" t="s">
        <v>8</v>
      </c>
      <c r="F7" s="12" t="s">
        <v>9</v>
      </c>
      <c r="G7" s="12" t="s">
        <v>9</v>
      </c>
      <c r="H7" s="13" t="s">
        <v>8</v>
      </c>
      <c r="I7" s="12" t="s">
        <v>10</v>
      </c>
      <c r="J7" s="12" t="s">
        <v>11</v>
      </c>
      <c r="K7" s="194" t="s">
        <v>12</v>
      </c>
      <c r="L7" s="194" t="s">
        <v>12</v>
      </c>
      <c r="M7" s="14" t="s">
        <v>8</v>
      </c>
      <c r="N7" s="10"/>
      <c r="R7" s="2"/>
    </row>
    <row r="8" spans="1:18" ht="15.75" customHeight="1" thickTop="1" x14ac:dyDescent="0.25">
      <c r="A8" s="15"/>
      <c r="B8" s="16"/>
      <c r="C8" s="16"/>
      <c r="D8" s="16"/>
      <c r="E8" s="17"/>
      <c r="F8" s="16"/>
      <c r="G8" s="16"/>
      <c r="H8" s="17"/>
      <c r="I8" s="16"/>
      <c r="J8" s="16"/>
      <c r="K8" s="195"/>
      <c r="L8" s="195"/>
      <c r="M8" s="18"/>
      <c r="N8" s="10"/>
      <c r="R8" s="2"/>
    </row>
    <row r="9" spans="1:18" ht="15.75" x14ac:dyDescent="0.25">
      <c r="A9" s="19" t="s">
        <v>13</v>
      </c>
      <c r="B9" s="20">
        <f>DATE(2023,7,1)</f>
        <v>45108</v>
      </c>
      <c r="C9" s="21">
        <v>198971</v>
      </c>
      <c r="D9" s="22">
        <v>217943</v>
      </c>
      <c r="E9" s="23">
        <f>(+C9-D9)/D9</f>
        <v>-8.7050283789798247E-2</v>
      </c>
      <c r="F9" s="21">
        <f>+C9-94713</f>
        <v>104258</v>
      </c>
      <c r="G9" s="21">
        <f>+D9-101378</f>
        <v>116565</v>
      </c>
      <c r="H9" s="23">
        <f>(+F9-G9)/G9</f>
        <v>-0.1055805773602711</v>
      </c>
      <c r="I9" s="24">
        <f>K9/C9</f>
        <v>75.297311065431643</v>
      </c>
      <c r="J9" s="24">
        <f>K9/F9</f>
        <v>143.7010232308312</v>
      </c>
      <c r="K9" s="21">
        <v>14981981.279999999</v>
      </c>
      <c r="L9" s="21">
        <v>15995475.4</v>
      </c>
      <c r="M9" s="25">
        <f>(+K9-L9)/L9</f>
        <v>-6.3361300283704042E-2</v>
      </c>
      <c r="N9" s="10"/>
      <c r="R9" s="2"/>
    </row>
    <row r="10" spans="1:18" ht="15.75" x14ac:dyDescent="0.25">
      <c r="A10" s="19"/>
      <c r="B10" s="20">
        <f>DATE(2023,8,1)</f>
        <v>45139</v>
      </c>
      <c r="C10" s="21">
        <v>185586</v>
      </c>
      <c r="D10" s="22">
        <v>199444</v>
      </c>
      <c r="E10" s="23">
        <f>(+C10-D10)/D10</f>
        <v>-6.9483163193678421E-2</v>
      </c>
      <c r="F10" s="21">
        <f>+C10-87146</f>
        <v>98440</v>
      </c>
      <c r="G10" s="21">
        <f>+D10-93160</f>
        <v>106284</v>
      </c>
      <c r="H10" s="23">
        <f>(+F10-G10)/G10</f>
        <v>-7.3802265627940233E-2</v>
      </c>
      <c r="I10" s="24">
        <f>K10/C10</f>
        <v>76.121730733999328</v>
      </c>
      <c r="J10" s="24">
        <f>K10/F10</f>
        <v>143.51003169443317</v>
      </c>
      <c r="K10" s="21">
        <v>14127127.52</v>
      </c>
      <c r="L10" s="21">
        <v>15184238.189999999</v>
      </c>
      <c r="M10" s="25">
        <f>(+K10-L10)/L10</f>
        <v>-6.9618946750729285E-2</v>
      </c>
      <c r="N10" s="10"/>
      <c r="R10" s="2"/>
    </row>
    <row r="11" spans="1:18" ht="15.75" x14ac:dyDescent="0.25">
      <c r="A11" s="19"/>
      <c r="B11" s="20">
        <f>DATE(2023,9,1)</f>
        <v>45170</v>
      </c>
      <c r="C11" s="21">
        <v>185704</v>
      </c>
      <c r="D11" s="22">
        <v>190853</v>
      </c>
      <c r="E11" s="23">
        <f>(+C11-D11)/D11</f>
        <v>-2.6978879032553849E-2</v>
      </c>
      <c r="F11" s="21">
        <f>+C11-86770</f>
        <v>98934</v>
      </c>
      <c r="G11" s="21">
        <f>+D11-90801</f>
        <v>100052</v>
      </c>
      <c r="H11" s="23">
        <f>(+F11-G11)/G11</f>
        <v>-1.117418942150082E-2</v>
      </c>
      <c r="I11" s="24">
        <f>K11/C11</f>
        <v>68.841302179813027</v>
      </c>
      <c r="J11" s="24">
        <f>K11/F11</f>
        <v>129.21852123637981</v>
      </c>
      <c r="K11" s="21">
        <v>12784105.18</v>
      </c>
      <c r="L11" s="21">
        <v>13875166.15</v>
      </c>
      <c r="M11" s="25">
        <f>(+K11-L11)/L11</f>
        <v>-7.8634083239428498E-2</v>
      </c>
      <c r="N11" s="10"/>
      <c r="R11" s="2"/>
    </row>
    <row r="12" spans="1:18" ht="15.75" x14ac:dyDescent="0.25">
      <c r="A12" s="19"/>
      <c r="B12" s="20">
        <f>DATE(2023,10,1)</f>
        <v>45200</v>
      </c>
      <c r="C12" s="21">
        <v>169461</v>
      </c>
      <c r="D12" s="22">
        <v>191998</v>
      </c>
      <c r="E12" s="23">
        <f>(+C12-D12)/D12</f>
        <v>-0.1173814310565735</v>
      </c>
      <c r="F12" s="21">
        <f>+C12-78160</f>
        <v>91301</v>
      </c>
      <c r="G12" s="21">
        <f>+D12-90818</f>
        <v>101180</v>
      </c>
      <c r="H12" s="23">
        <f>(+F12-G12)/G12</f>
        <v>-9.763787309745009E-2</v>
      </c>
      <c r="I12" s="24">
        <f>K12/C12</f>
        <v>75.899825151509788</v>
      </c>
      <c r="J12" s="24">
        <f>K12/F12</f>
        <v>140.87534933899957</v>
      </c>
      <c r="K12" s="21">
        <v>12862060.27</v>
      </c>
      <c r="L12" s="21">
        <v>14645832.02</v>
      </c>
      <c r="M12" s="25">
        <f>(+K12-L12)/L12</f>
        <v>-0.1217938146200314</v>
      </c>
      <c r="N12" s="10"/>
      <c r="R12" s="2"/>
    </row>
    <row r="13" spans="1:18" ht="15.75" x14ac:dyDescent="0.25">
      <c r="A13" s="19"/>
      <c r="B13" s="20">
        <f>DATE(2023,11,1)</f>
        <v>45231</v>
      </c>
      <c r="C13" s="21">
        <v>176075</v>
      </c>
      <c r="D13" s="22">
        <v>181329</v>
      </c>
      <c r="E13" s="23">
        <f>(+C13-D13)/D13</f>
        <v>-2.8974957122137109E-2</v>
      </c>
      <c r="F13" s="21">
        <f>+C13-85210</f>
        <v>90865</v>
      </c>
      <c r="G13" s="21">
        <f>+D13-85776</f>
        <v>95553</v>
      </c>
      <c r="H13" s="23">
        <f>(+F13-G13)/G13</f>
        <v>-4.9061777233577179E-2</v>
      </c>
      <c r="I13" s="24">
        <f>K13/C13</f>
        <v>71.677413318188272</v>
      </c>
      <c r="J13" s="24">
        <f>K13/F13</f>
        <v>138.89396962526826</v>
      </c>
      <c r="K13" s="21">
        <v>12620600.550000001</v>
      </c>
      <c r="L13" s="21">
        <v>13547746.890000001</v>
      </c>
      <c r="M13" s="25">
        <f>(+K13-L13)/L13</f>
        <v>-6.8435463662548532E-2</v>
      </c>
      <c r="N13" s="10"/>
      <c r="R13" s="2"/>
    </row>
    <row r="14" spans="1:18" ht="15.75" customHeight="1" thickBot="1" x14ac:dyDescent="0.3">
      <c r="A14" s="19"/>
      <c r="B14" s="20"/>
      <c r="C14" s="21"/>
      <c r="D14" s="21"/>
      <c r="E14" s="23"/>
      <c r="F14" s="21"/>
      <c r="G14" s="21"/>
      <c r="H14" s="23"/>
      <c r="I14" s="24"/>
      <c r="J14" s="24"/>
      <c r="K14" s="21"/>
      <c r="L14" s="21"/>
      <c r="M14" s="25"/>
      <c r="N14" s="10"/>
      <c r="R14" s="2"/>
    </row>
    <row r="15" spans="1:18" ht="17.25" thickTop="1" thickBot="1" x14ac:dyDescent="0.3">
      <c r="A15" s="26" t="s">
        <v>14</v>
      </c>
      <c r="B15" s="27"/>
      <c r="C15" s="28">
        <f>SUM(C9:C14)</f>
        <v>915797</v>
      </c>
      <c r="D15" s="28">
        <f>SUM(D9:D14)</f>
        <v>981567</v>
      </c>
      <c r="E15" s="279">
        <f>(+C15-D15)/D15</f>
        <v>-6.700510510235165E-2</v>
      </c>
      <c r="F15" s="28">
        <f>SUM(F9:F14)</f>
        <v>483798</v>
      </c>
      <c r="G15" s="28">
        <f>SUM(G9:G14)</f>
        <v>519634</v>
      </c>
      <c r="H15" s="30">
        <f>(+F15-G15)/G15</f>
        <v>-6.896392460847442E-2</v>
      </c>
      <c r="I15" s="31">
        <f>K15/C15</f>
        <v>73.570752907030709</v>
      </c>
      <c r="J15" s="31">
        <f>K15/F15</f>
        <v>139.26447566959763</v>
      </c>
      <c r="K15" s="28">
        <f>SUM(K9:K14)</f>
        <v>67375874.799999997</v>
      </c>
      <c r="L15" s="28">
        <f>SUM(L9:L14)</f>
        <v>73248458.650000006</v>
      </c>
      <c r="M15" s="32">
        <f>(+K15-L15)/L15</f>
        <v>-8.0173480210153317E-2</v>
      </c>
      <c r="N15" s="10"/>
      <c r="R15" s="2"/>
    </row>
    <row r="16" spans="1:18" ht="15.75" customHeight="1" thickTop="1" x14ac:dyDescent="0.25">
      <c r="A16" s="15"/>
      <c r="B16" s="16"/>
      <c r="C16" s="16"/>
      <c r="D16" s="16"/>
      <c r="E16" s="17"/>
      <c r="F16" s="16"/>
      <c r="G16" s="16"/>
      <c r="H16" s="17"/>
      <c r="I16" s="16"/>
      <c r="J16" s="16"/>
      <c r="K16" s="195"/>
      <c r="L16" s="195"/>
      <c r="M16" s="18"/>
      <c r="N16" s="10"/>
      <c r="R16" s="2"/>
    </row>
    <row r="17" spans="1:18" ht="15.75" x14ac:dyDescent="0.25">
      <c r="A17" s="19" t="s">
        <v>15</v>
      </c>
      <c r="B17" s="20">
        <f>DATE(2023,7,1)</f>
        <v>45108</v>
      </c>
      <c r="C17" s="21">
        <v>114764</v>
      </c>
      <c r="D17" s="21">
        <v>114715</v>
      </c>
      <c r="E17" s="23">
        <f>(+C17-D17)/D17</f>
        <v>4.2714553458571243E-4</v>
      </c>
      <c r="F17" s="21">
        <f>+C17-56037</f>
        <v>58727</v>
      </c>
      <c r="G17" s="21">
        <f>+D17-55568</f>
        <v>59147</v>
      </c>
      <c r="H17" s="23">
        <f>(+F17-G17)/G17</f>
        <v>-7.1009518656905673E-3</v>
      </c>
      <c r="I17" s="24">
        <f>K17/C17</f>
        <v>71.3647338886759</v>
      </c>
      <c r="J17" s="24">
        <f>K17/F17</f>
        <v>139.46059427520561</v>
      </c>
      <c r="K17" s="21">
        <v>8190102.3200000003</v>
      </c>
      <c r="L17" s="21">
        <v>8395754.2100000009</v>
      </c>
      <c r="M17" s="25">
        <f>(+K17-L17)/L17</f>
        <v>-2.4494748757062597E-2</v>
      </c>
      <c r="N17" s="10"/>
      <c r="R17" s="2"/>
    </row>
    <row r="18" spans="1:18" ht="15.75" x14ac:dyDescent="0.25">
      <c r="A18" s="19"/>
      <c r="B18" s="20">
        <f>DATE(2023,8,1)</f>
        <v>45139</v>
      </c>
      <c r="C18" s="21">
        <v>103488</v>
      </c>
      <c r="D18" s="21">
        <v>103784</v>
      </c>
      <c r="E18" s="23">
        <f>(+C18-D18)/D18</f>
        <v>-2.8520773915054346E-3</v>
      </c>
      <c r="F18" s="21">
        <f>+C18-50126</f>
        <v>53362</v>
      </c>
      <c r="G18" s="21">
        <f>+D18-49858</f>
        <v>53926</v>
      </c>
      <c r="H18" s="23">
        <f>(+F18-G18)/G18</f>
        <v>-1.0458776842339501E-2</v>
      </c>
      <c r="I18" s="24">
        <f>K18/C18</f>
        <v>72.262649099412499</v>
      </c>
      <c r="J18" s="24">
        <f>K18/F18</f>
        <v>140.14311738690455</v>
      </c>
      <c r="K18" s="21">
        <v>7478317.0300000003</v>
      </c>
      <c r="L18" s="21">
        <v>7565961.5300000003</v>
      </c>
      <c r="M18" s="25">
        <f>(+K18-L18)/L18</f>
        <v>-1.1584053084657965E-2</v>
      </c>
      <c r="N18" s="10"/>
      <c r="R18" s="2"/>
    </row>
    <row r="19" spans="1:18" ht="15.75" x14ac:dyDescent="0.25">
      <c r="A19" s="19"/>
      <c r="B19" s="20">
        <f>DATE(2023,9,1)</f>
        <v>45170</v>
      </c>
      <c r="C19" s="21">
        <v>100304</v>
      </c>
      <c r="D19" s="21">
        <v>107511</v>
      </c>
      <c r="E19" s="23">
        <f>(+C19-D19)/D19</f>
        <v>-6.7035001069657985E-2</v>
      </c>
      <c r="F19" s="21">
        <f>+C19-48762</f>
        <v>51542</v>
      </c>
      <c r="G19" s="21">
        <f>+D19-51983</f>
        <v>55528</v>
      </c>
      <c r="H19" s="23">
        <f>(+F19-G19)/G19</f>
        <v>-7.1783604667915279E-2</v>
      </c>
      <c r="I19" s="24">
        <f>K19/C19</f>
        <v>71.829143703142449</v>
      </c>
      <c r="J19" s="24">
        <f>K19/F19</f>
        <v>139.78406794458888</v>
      </c>
      <c r="K19" s="21">
        <v>7204750.4299999997</v>
      </c>
      <c r="L19" s="21">
        <v>7793918.54</v>
      </c>
      <c r="M19" s="25">
        <f>(+K19-L19)/L19</f>
        <v>-7.5593311243409581E-2</v>
      </c>
      <c r="N19" s="10"/>
      <c r="R19" s="2"/>
    </row>
    <row r="20" spans="1:18" ht="15.75" x14ac:dyDescent="0.25">
      <c r="A20" s="19"/>
      <c r="B20" s="20">
        <f>DATE(2023,10,1)</f>
        <v>45200</v>
      </c>
      <c r="C20" s="21">
        <v>93178</v>
      </c>
      <c r="D20" s="21">
        <v>104490</v>
      </c>
      <c r="E20" s="23">
        <f>(+C20-D20)/D20</f>
        <v>-0.10825916355632118</v>
      </c>
      <c r="F20" s="21">
        <f>+C20-45141</f>
        <v>48037</v>
      </c>
      <c r="G20" s="21">
        <f>+D20-49825</f>
        <v>54665</v>
      </c>
      <c r="H20" s="23">
        <f>(+F20-G20)/G20</f>
        <v>-0.121247599012165</v>
      </c>
      <c r="I20" s="24">
        <f>K20/C20</f>
        <v>70.092507136877799</v>
      </c>
      <c r="J20" s="24">
        <f>K20/F20</f>
        <v>135.95935695401462</v>
      </c>
      <c r="K20" s="21">
        <v>6531079.6299999999</v>
      </c>
      <c r="L20" s="21">
        <v>7661616.3399999999</v>
      </c>
      <c r="M20" s="25">
        <f>(+K20-L20)/L20</f>
        <v>-0.14755851243785981</v>
      </c>
      <c r="N20" s="10"/>
      <c r="R20" s="2"/>
    </row>
    <row r="21" spans="1:18" ht="15.75" x14ac:dyDescent="0.25">
      <c r="A21" s="19"/>
      <c r="B21" s="20">
        <f>DATE(2023,11,1)</f>
        <v>45231</v>
      </c>
      <c r="C21" s="21">
        <v>89400</v>
      </c>
      <c r="D21" s="21">
        <v>93678</v>
      </c>
      <c r="E21" s="23">
        <f>(+C21-D21)/D21</f>
        <v>-4.5667072311535259E-2</v>
      </c>
      <c r="F21" s="21">
        <f>+C21-43751</f>
        <v>45649</v>
      </c>
      <c r="G21" s="21">
        <f>+D21-44918</f>
        <v>48760</v>
      </c>
      <c r="H21" s="23">
        <f>(+F21-G21)/G21</f>
        <v>-6.3802296964725183E-2</v>
      </c>
      <c r="I21" s="24">
        <f>K21/C21</f>
        <v>75.990714653243842</v>
      </c>
      <c r="J21" s="24">
        <f>K21/F21</f>
        <v>148.82187758767989</v>
      </c>
      <c r="K21" s="21">
        <v>6793569.8899999997</v>
      </c>
      <c r="L21" s="21">
        <v>7032076.0599999996</v>
      </c>
      <c r="M21" s="25">
        <f>(+K21-L21)/L21</f>
        <v>-3.3916892815860689E-2</v>
      </c>
      <c r="N21" s="10"/>
      <c r="R21" s="2"/>
    </row>
    <row r="22" spans="1:18" ht="15.75" customHeight="1" thickBot="1" x14ac:dyDescent="0.3">
      <c r="A22" s="19"/>
      <c r="B22" s="20"/>
      <c r="C22" s="21"/>
      <c r="D22" s="21"/>
      <c r="E22" s="23"/>
      <c r="F22" s="21"/>
      <c r="G22" s="21"/>
      <c r="H22" s="23"/>
      <c r="I22" s="24"/>
      <c r="J22" s="24"/>
      <c r="K22" s="21"/>
      <c r="L22" s="21"/>
      <c r="M22" s="25"/>
      <c r="N22" s="10"/>
      <c r="R22" s="2"/>
    </row>
    <row r="23" spans="1:18" ht="17.25" customHeight="1" thickTop="1" thickBot="1" x14ac:dyDescent="0.3">
      <c r="A23" s="26" t="s">
        <v>14</v>
      </c>
      <c r="B23" s="27"/>
      <c r="C23" s="28">
        <f>SUM(C17:C22)</f>
        <v>501134</v>
      </c>
      <c r="D23" s="28">
        <f>SUM(D17:D22)</f>
        <v>524178</v>
      </c>
      <c r="E23" s="279">
        <f>(+C23-D23)/D23</f>
        <v>-4.3962165523925081E-2</v>
      </c>
      <c r="F23" s="28">
        <f>SUM(F17:F22)</f>
        <v>257317</v>
      </c>
      <c r="G23" s="28">
        <f>SUM(G17:G22)</f>
        <v>272026</v>
      </c>
      <c r="H23" s="30">
        <f>(+F23-G23)/G23</f>
        <v>-5.4072037231735204E-2</v>
      </c>
      <c r="I23" s="31">
        <f>K23/C23</f>
        <v>72.231816839408211</v>
      </c>
      <c r="J23" s="31">
        <f>K23/F23</f>
        <v>140.6740296987762</v>
      </c>
      <c r="K23" s="28">
        <f>SUM(K17:K22)</f>
        <v>36197819.299999997</v>
      </c>
      <c r="L23" s="28">
        <f>SUM(L17:L22)</f>
        <v>38449326.68</v>
      </c>
      <c r="M23" s="32">
        <f>(+K23-L23)/L23</f>
        <v>-5.8557784346615314E-2</v>
      </c>
      <c r="N23" s="10"/>
      <c r="R23" s="2"/>
    </row>
    <row r="24" spans="1:18" ht="15.75" customHeight="1" thickTop="1" x14ac:dyDescent="0.25">
      <c r="A24" s="33"/>
      <c r="B24" s="34"/>
      <c r="C24" s="35"/>
      <c r="D24" s="35"/>
      <c r="E24" s="29"/>
      <c r="F24" s="35"/>
      <c r="G24" s="35"/>
      <c r="H24" s="29"/>
      <c r="I24" s="36"/>
      <c r="J24" s="36"/>
      <c r="K24" s="35"/>
      <c r="L24" s="35"/>
      <c r="M24" s="37"/>
      <c r="N24" s="10"/>
      <c r="R24" s="2"/>
    </row>
    <row r="25" spans="1:18" ht="15.75" customHeight="1" x14ac:dyDescent="0.25">
      <c r="A25" s="19" t="s">
        <v>62</v>
      </c>
      <c r="B25" s="20">
        <f>DATE(2023,7,1)</f>
        <v>45108</v>
      </c>
      <c r="C25" s="21">
        <v>62207</v>
      </c>
      <c r="D25" s="21">
        <v>56544</v>
      </c>
      <c r="E25" s="23">
        <f>(+C25-D25)/D25</f>
        <v>0.10015209394453876</v>
      </c>
      <c r="F25" s="21">
        <f>+C25-32355</f>
        <v>29852</v>
      </c>
      <c r="G25" s="21">
        <f>+D25-31773</f>
        <v>24771</v>
      </c>
      <c r="H25" s="23">
        <f>(+F25-G25)/G25</f>
        <v>0.20511888902345485</v>
      </c>
      <c r="I25" s="24">
        <f>K25/C25</f>
        <v>62.61233446396708</v>
      </c>
      <c r="J25" s="24">
        <f>K25/F25</f>
        <v>130.47452398499263</v>
      </c>
      <c r="K25" s="21">
        <v>3894925.49</v>
      </c>
      <c r="L25" s="21">
        <v>3786512.7</v>
      </c>
      <c r="M25" s="25">
        <f>(+K25-L25)/L25</f>
        <v>2.8631302359028145E-2</v>
      </c>
      <c r="N25" s="10"/>
      <c r="R25" s="2"/>
    </row>
    <row r="26" spans="1:18" ht="15.75" customHeight="1" x14ac:dyDescent="0.25">
      <c r="A26" s="19"/>
      <c r="B26" s="20">
        <f>DATE(2023,8,1)</f>
        <v>45139</v>
      </c>
      <c r="C26" s="21">
        <v>55791</v>
      </c>
      <c r="D26" s="21">
        <v>49669</v>
      </c>
      <c r="E26" s="23">
        <f>(+C26-D26)/D26</f>
        <v>0.12325595441824881</v>
      </c>
      <c r="F26" s="21">
        <f>+C26-28978</f>
        <v>26813</v>
      </c>
      <c r="G26" s="21">
        <f>+D26-27651</f>
        <v>22018</v>
      </c>
      <c r="H26" s="23">
        <f>(+F26-G26)/G26</f>
        <v>0.21777636479244256</v>
      </c>
      <c r="I26" s="24">
        <f>K26/C26</f>
        <v>67.347290960907671</v>
      </c>
      <c r="J26" s="24">
        <f>K26/F26</f>
        <v>140.13249953380821</v>
      </c>
      <c r="K26" s="21">
        <v>3757372.71</v>
      </c>
      <c r="L26" s="21">
        <v>3497013.51</v>
      </c>
      <c r="M26" s="25">
        <f>(+K26-L26)/L26</f>
        <v>7.4451871362658878E-2</v>
      </c>
      <c r="N26" s="10"/>
      <c r="R26" s="2"/>
    </row>
    <row r="27" spans="1:18" ht="15.75" customHeight="1" x14ac:dyDescent="0.25">
      <c r="A27" s="19"/>
      <c r="B27" s="20">
        <f>DATE(2023,9,1)</f>
        <v>45170</v>
      </c>
      <c r="C27" s="21">
        <v>56687</v>
      </c>
      <c r="D27" s="21">
        <v>50523</v>
      </c>
      <c r="E27" s="23">
        <f>(+C27-D27)/D27</f>
        <v>0.12200383983532252</v>
      </c>
      <c r="F27" s="21">
        <f>+C27-29799</f>
        <v>26888</v>
      </c>
      <c r="G27" s="21">
        <f>+D27-27954</f>
        <v>22569</v>
      </c>
      <c r="H27" s="23">
        <f>(+F27-G27)/G27</f>
        <v>0.19136869156808012</v>
      </c>
      <c r="I27" s="24">
        <f>K27/C27</f>
        <v>70.977173955227826</v>
      </c>
      <c r="J27" s="24">
        <f>K27/F27</f>
        <v>149.63861425171081</v>
      </c>
      <c r="K27" s="21">
        <v>4023483.06</v>
      </c>
      <c r="L27" s="21">
        <v>3596804.25</v>
      </c>
      <c r="M27" s="25">
        <f>(+K27-L27)/L27</f>
        <v>0.11862719801890804</v>
      </c>
      <c r="N27" s="10"/>
      <c r="R27" s="2"/>
    </row>
    <row r="28" spans="1:18" ht="15.75" customHeight="1" x14ac:dyDescent="0.25">
      <c r="A28" s="19"/>
      <c r="B28" s="20">
        <f>DATE(2023,10,1)</f>
        <v>45200</v>
      </c>
      <c r="C28" s="21">
        <v>50318</v>
      </c>
      <c r="D28" s="21">
        <v>47473</v>
      </c>
      <c r="E28" s="23">
        <f>(+C28-D28)/D28</f>
        <v>5.9928801634613359E-2</v>
      </c>
      <c r="F28" s="21">
        <f>+C28-26291</f>
        <v>24027</v>
      </c>
      <c r="G28" s="21">
        <f>+D28-26103</f>
        <v>21370</v>
      </c>
      <c r="H28" s="23">
        <f>(+F28-G28)/G28</f>
        <v>0.12433317735142724</v>
      </c>
      <c r="I28" s="24">
        <f>K28/C28</f>
        <v>73.565421916610362</v>
      </c>
      <c r="J28" s="24">
        <f>K28/F28</f>
        <v>154.06271694343863</v>
      </c>
      <c r="K28" s="21">
        <v>3701664.9</v>
      </c>
      <c r="L28" s="21">
        <v>3359585.24</v>
      </c>
      <c r="M28" s="25">
        <f>(+K28-L28)/L28</f>
        <v>0.1018219915741741</v>
      </c>
      <c r="N28" s="10"/>
      <c r="R28" s="2"/>
    </row>
    <row r="29" spans="1:18" ht="15.75" customHeight="1" x14ac:dyDescent="0.25">
      <c r="A29" s="19"/>
      <c r="B29" s="20">
        <f>DATE(2023,11,1)</f>
        <v>45231</v>
      </c>
      <c r="C29" s="21">
        <v>50474</v>
      </c>
      <c r="D29" s="21">
        <v>39425</v>
      </c>
      <c r="E29" s="23">
        <f>(+C29-D29)/D29</f>
        <v>0.28025364616360177</v>
      </c>
      <c r="F29" s="21">
        <f>+C29-26977</f>
        <v>23497</v>
      </c>
      <c r="G29" s="21">
        <f>+D29-21931</f>
        <v>17494</v>
      </c>
      <c r="H29" s="23">
        <f>(+F29-G29)/G29</f>
        <v>0.34314622156167829</v>
      </c>
      <c r="I29" s="24">
        <f>K29/C29</f>
        <v>71.029015730871336</v>
      </c>
      <c r="J29" s="24">
        <f>K29/F29</f>
        <v>152.57771375069157</v>
      </c>
      <c r="K29" s="21">
        <v>3585118.54</v>
      </c>
      <c r="L29" s="21">
        <v>3098197.39</v>
      </c>
      <c r="M29" s="25">
        <f>(+K29-L29)/L29</f>
        <v>0.15716272680740975</v>
      </c>
      <c r="N29" s="10"/>
      <c r="R29" s="2"/>
    </row>
    <row r="30" spans="1:18" ht="15.75" customHeight="1" thickBot="1" x14ac:dyDescent="0.25">
      <c r="A30" s="38"/>
      <c r="B30" s="20"/>
      <c r="C30" s="21"/>
      <c r="D30" s="21"/>
      <c r="E30" s="23"/>
      <c r="F30" s="21"/>
      <c r="G30" s="21"/>
      <c r="H30" s="23"/>
      <c r="I30" s="24"/>
      <c r="J30" s="24"/>
      <c r="K30" s="21"/>
      <c r="L30" s="21"/>
      <c r="M30" s="25"/>
      <c r="N30" s="10"/>
      <c r="R30" s="2"/>
    </row>
    <row r="31" spans="1:18" ht="17.25" customHeight="1" thickTop="1" thickBot="1" x14ac:dyDescent="0.3">
      <c r="A31" s="39" t="s">
        <v>14</v>
      </c>
      <c r="B31" s="40"/>
      <c r="C31" s="41">
        <f>SUM(C25:C30)</f>
        <v>275477</v>
      </c>
      <c r="D31" s="41">
        <f>SUM(D25:D30)</f>
        <v>243634</v>
      </c>
      <c r="E31" s="280">
        <f>(+C31-D31)/D31</f>
        <v>0.13070014858353105</v>
      </c>
      <c r="F31" s="41">
        <f>SUM(F25:F30)</f>
        <v>131077</v>
      </c>
      <c r="G31" s="41">
        <f>SUM(G25:G30)</f>
        <v>108222</v>
      </c>
      <c r="H31" s="42">
        <f>(+F31-G31)/G31</f>
        <v>0.21118626526953854</v>
      </c>
      <c r="I31" s="43">
        <f>K31/C31</f>
        <v>68.835382627224774</v>
      </c>
      <c r="J31" s="43">
        <f>K31/F31</f>
        <v>144.66736879849248</v>
      </c>
      <c r="K31" s="41">
        <f>SUM(K25:K30)</f>
        <v>18962564.699999999</v>
      </c>
      <c r="L31" s="41">
        <f>SUM(L25:L30)</f>
        <v>17338113.09</v>
      </c>
      <c r="M31" s="44">
        <f>(+K31-L31)/L31</f>
        <v>9.3692525914883126E-2</v>
      </c>
      <c r="N31" s="10"/>
      <c r="R31" s="2"/>
    </row>
    <row r="32" spans="1:18" ht="15.75" customHeight="1" thickTop="1" x14ac:dyDescent="0.2">
      <c r="A32" s="38"/>
      <c r="B32" s="45"/>
      <c r="C32" s="21"/>
      <c r="D32" s="21"/>
      <c r="E32" s="23"/>
      <c r="F32" s="21"/>
      <c r="G32" s="21"/>
      <c r="H32" s="23"/>
      <c r="I32" s="24"/>
      <c r="J32" s="24"/>
      <c r="K32" s="21"/>
      <c r="L32" s="21"/>
      <c r="M32" s="25"/>
      <c r="N32" s="10"/>
      <c r="R32" s="2"/>
    </row>
    <row r="33" spans="1:18" ht="15.75" customHeight="1" x14ac:dyDescent="0.25">
      <c r="A33" s="177" t="s">
        <v>58</v>
      </c>
      <c r="B33" s="20">
        <f>DATE(2023,7,1)</f>
        <v>45108</v>
      </c>
      <c r="C33" s="21">
        <v>351840</v>
      </c>
      <c r="D33" s="21">
        <v>327697</v>
      </c>
      <c r="E33" s="23">
        <f>(+C33-D33)/D33</f>
        <v>7.3674766628928551E-2</v>
      </c>
      <c r="F33" s="21">
        <f>+C33-174244</f>
        <v>177596</v>
      </c>
      <c r="G33" s="21">
        <f>+D33-165744</f>
        <v>161953</v>
      </c>
      <c r="H33" s="23">
        <f>(+F33-G33)/G33</f>
        <v>9.658975134761319E-2</v>
      </c>
      <c r="I33" s="24">
        <f>K33/C33</f>
        <v>63.266514836289218</v>
      </c>
      <c r="J33" s="24">
        <f>K33/F33</f>
        <v>125.33891855672424</v>
      </c>
      <c r="K33" s="21">
        <v>22259690.579999998</v>
      </c>
      <c r="L33" s="21">
        <v>21404058.239999998</v>
      </c>
      <c r="M33" s="25">
        <f>(+K33-L33)/L33</f>
        <v>3.9975238826485265E-2</v>
      </c>
      <c r="N33" s="10"/>
      <c r="R33" s="2"/>
    </row>
    <row r="34" spans="1:18" ht="15.75" customHeight="1" x14ac:dyDescent="0.25">
      <c r="A34" s="177"/>
      <c r="B34" s="20">
        <f>DATE(2023,8,1)</f>
        <v>45139</v>
      </c>
      <c r="C34" s="21">
        <v>330822</v>
      </c>
      <c r="D34" s="21">
        <v>302775</v>
      </c>
      <c r="E34" s="23">
        <f>(+C34-D34)/D34</f>
        <v>9.2633143423334161E-2</v>
      </c>
      <c r="F34" s="21">
        <f>+C34-166752</f>
        <v>164070</v>
      </c>
      <c r="G34" s="21">
        <f>+D34-150422</f>
        <v>152353</v>
      </c>
      <c r="H34" s="23">
        <f>(+F34-G34)/G34</f>
        <v>7.6906920113158264E-2</v>
      </c>
      <c r="I34" s="24">
        <f>K34/C34</f>
        <v>60.320833197308524</v>
      </c>
      <c r="J34" s="24">
        <f>K34/F34</f>
        <v>121.62771183031633</v>
      </c>
      <c r="K34" s="21">
        <v>19955458.68</v>
      </c>
      <c r="L34" s="21">
        <v>19341318.82</v>
      </c>
      <c r="M34" s="25">
        <f>(+K34-L34)/L34</f>
        <v>3.1752739599377508E-2</v>
      </c>
      <c r="N34" s="10"/>
      <c r="R34" s="2"/>
    </row>
    <row r="35" spans="1:18" ht="15.75" customHeight="1" x14ac:dyDescent="0.25">
      <c r="A35" s="177"/>
      <c r="B35" s="20">
        <f>DATE(2023,9,1)</f>
        <v>45170</v>
      </c>
      <c r="C35" s="21">
        <v>316962</v>
      </c>
      <c r="D35" s="21">
        <v>299586</v>
      </c>
      <c r="E35" s="23">
        <f>(+C35-D35)/D35</f>
        <v>5.8000040055276279E-2</v>
      </c>
      <c r="F35" s="21">
        <f>+C35-158185</f>
        <v>158777</v>
      </c>
      <c r="G35" s="21">
        <f>+D35-150974</f>
        <v>148612</v>
      </c>
      <c r="H35" s="23">
        <f>(+F35-G35)/G35</f>
        <v>6.8399590880951738E-2</v>
      </c>
      <c r="I35" s="24">
        <f>K35/C35</f>
        <v>64.654702235599217</v>
      </c>
      <c r="J35" s="24">
        <f>K35/F35</f>
        <v>129.06833943203361</v>
      </c>
      <c r="K35" s="21">
        <v>20493083.73</v>
      </c>
      <c r="L35" s="21">
        <v>21154344.73</v>
      </c>
      <c r="M35" s="25">
        <f>(+K35-L35)/L35</f>
        <v>-3.1258874166980637E-2</v>
      </c>
      <c r="N35" s="10"/>
      <c r="R35" s="2"/>
    </row>
    <row r="36" spans="1:18" ht="15.75" customHeight="1" x14ac:dyDescent="0.25">
      <c r="A36" s="177"/>
      <c r="B36" s="20">
        <f>DATE(2023,10,1)</f>
        <v>45200</v>
      </c>
      <c r="C36" s="21">
        <v>288802</v>
      </c>
      <c r="D36" s="21">
        <v>280901</v>
      </c>
      <c r="E36" s="23">
        <f>(+C36-D36)/D36</f>
        <v>2.812734735725398E-2</v>
      </c>
      <c r="F36" s="21">
        <f>+C36-147350</f>
        <v>141452</v>
      </c>
      <c r="G36" s="21">
        <f>+D36-143073</f>
        <v>137828</v>
      </c>
      <c r="H36" s="23">
        <f>(+F36-G36)/G36</f>
        <v>2.6293641350088517E-2</v>
      </c>
      <c r="I36" s="24">
        <f>K36/C36</f>
        <v>67.021046876406672</v>
      </c>
      <c r="J36" s="24">
        <f>K36/F36</f>
        <v>136.83661157141646</v>
      </c>
      <c r="K36" s="21">
        <v>19355812.379999999</v>
      </c>
      <c r="L36" s="21">
        <v>19256450</v>
      </c>
      <c r="M36" s="25">
        <f>(+K36-L36)/L36</f>
        <v>5.1599531585520154E-3</v>
      </c>
      <c r="N36" s="10"/>
      <c r="R36" s="2"/>
    </row>
    <row r="37" spans="1:18" ht="15.75" customHeight="1" x14ac:dyDescent="0.25">
      <c r="A37" s="177"/>
      <c r="B37" s="20">
        <f>DATE(2023,11,1)</f>
        <v>45231</v>
      </c>
      <c r="C37" s="21">
        <v>288902</v>
      </c>
      <c r="D37" s="21">
        <v>277702</v>
      </c>
      <c r="E37" s="23">
        <f>(+C37-D37)/D37</f>
        <v>4.0331002297426741E-2</v>
      </c>
      <c r="F37" s="21">
        <f>+C37-147801</f>
        <v>141101</v>
      </c>
      <c r="G37" s="21">
        <f>+D37-138977</f>
        <v>138725</v>
      </c>
      <c r="H37" s="23">
        <f>(+F37-G37)/G37</f>
        <v>1.7127410344206163E-2</v>
      </c>
      <c r="I37" s="24">
        <f>K37/C37</f>
        <v>68.227429266671749</v>
      </c>
      <c r="J37" s="24">
        <f>K37/F37</f>
        <v>139.69455049928774</v>
      </c>
      <c r="K37" s="21">
        <v>19711040.77</v>
      </c>
      <c r="L37" s="21">
        <v>17923650.210000001</v>
      </c>
      <c r="M37" s="25">
        <f>(+K37-L37)/L37</f>
        <v>9.9722463842927142E-2</v>
      </c>
      <c r="N37" s="10"/>
      <c r="R37" s="2"/>
    </row>
    <row r="38" spans="1:18" ht="15.75" thickBot="1" x14ac:dyDescent="0.25">
      <c r="A38" s="38"/>
      <c r="B38" s="45"/>
      <c r="C38" s="21"/>
      <c r="D38" s="21"/>
      <c r="E38" s="23"/>
      <c r="F38" s="21"/>
      <c r="G38" s="21"/>
      <c r="H38" s="23"/>
      <c r="I38" s="24"/>
      <c r="J38" s="24"/>
      <c r="K38" s="21"/>
      <c r="L38" s="21"/>
      <c r="M38" s="25"/>
      <c r="N38" s="10"/>
      <c r="R38" s="2"/>
    </row>
    <row r="39" spans="1:18" ht="17.25" thickTop="1" thickBot="1" x14ac:dyDescent="0.3">
      <c r="A39" s="39" t="s">
        <v>14</v>
      </c>
      <c r="B39" s="40"/>
      <c r="C39" s="41">
        <f>SUM(C33:C38)</f>
        <v>1577328</v>
      </c>
      <c r="D39" s="41">
        <f>SUM(D33:D38)</f>
        <v>1488661</v>
      </c>
      <c r="E39" s="280">
        <f>(+C39-D39)/D39</f>
        <v>5.9561579164094443E-2</v>
      </c>
      <c r="F39" s="41">
        <f>SUM(F33:F38)</f>
        <v>782996</v>
      </c>
      <c r="G39" s="41">
        <f>SUM(G33:G38)</f>
        <v>739471</v>
      </c>
      <c r="H39" s="42">
        <f>(+F39-G39)/G39</f>
        <v>5.8859644259206922E-2</v>
      </c>
      <c r="I39" s="43">
        <f>K39/C39</f>
        <v>64.523730092916622</v>
      </c>
      <c r="J39" s="43">
        <f>K39/F39</f>
        <v>129.98161694312614</v>
      </c>
      <c r="K39" s="41">
        <f>SUM(K33:K38)</f>
        <v>101775086.13999999</v>
      </c>
      <c r="L39" s="41">
        <f>SUM(L33:L38)</f>
        <v>99079822</v>
      </c>
      <c r="M39" s="44">
        <f>(+K39-L39)/L39</f>
        <v>2.7202957025901659E-2</v>
      </c>
      <c r="N39" s="10"/>
      <c r="R39" s="2"/>
    </row>
    <row r="40" spans="1:18" ht="15.75" thickTop="1" x14ac:dyDescent="0.2">
      <c r="A40" s="38"/>
      <c r="B40" s="45"/>
      <c r="C40" s="21"/>
      <c r="D40" s="21"/>
      <c r="E40" s="23"/>
      <c r="F40" s="21"/>
      <c r="G40" s="21"/>
      <c r="H40" s="23"/>
      <c r="I40" s="24"/>
      <c r="J40" s="24"/>
      <c r="K40" s="21"/>
      <c r="L40" s="21"/>
      <c r="M40" s="25"/>
      <c r="N40" s="10"/>
      <c r="R40" s="2"/>
    </row>
    <row r="41" spans="1:18" ht="15.75" x14ac:dyDescent="0.25">
      <c r="A41" s="19" t="s">
        <v>60</v>
      </c>
      <c r="B41" s="20">
        <f>DATE(2023,7,1)</f>
        <v>45108</v>
      </c>
      <c r="C41" s="21">
        <v>199698</v>
      </c>
      <c r="D41" s="21">
        <v>219130</v>
      </c>
      <c r="E41" s="23">
        <f>(+C41-D41)/D41</f>
        <v>-8.8677953726098657E-2</v>
      </c>
      <c r="F41" s="21">
        <f>+C41-94634</f>
        <v>105064</v>
      </c>
      <c r="G41" s="21">
        <f>+D41-103416</f>
        <v>115714</v>
      </c>
      <c r="H41" s="23">
        <f>(+F41-G41)/G41</f>
        <v>-9.2037264289541454E-2</v>
      </c>
      <c r="I41" s="24">
        <f>K41/C41</f>
        <v>76.994882722911598</v>
      </c>
      <c r="J41" s="24">
        <f>K41/F41</f>
        <v>146.34626599025356</v>
      </c>
      <c r="K41" s="21">
        <v>15375724.09</v>
      </c>
      <c r="L41" s="21">
        <v>15073309.060000001</v>
      </c>
      <c r="M41" s="25">
        <f>(+K41-L41)/L41</f>
        <v>2.0062948938167617E-2</v>
      </c>
      <c r="N41" s="10"/>
      <c r="R41" s="2"/>
    </row>
    <row r="42" spans="1:18" ht="15.75" x14ac:dyDescent="0.25">
      <c r="A42" s="19"/>
      <c r="B42" s="20">
        <f>DATE(2023,8,1)</f>
        <v>45139</v>
      </c>
      <c r="C42" s="21">
        <v>185862</v>
      </c>
      <c r="D42" s="21">
        <v>204381</v>
      </c>
      <c r="E42" s="23">
        <f>(+C42-D42)/D42</f>
        <v>-9.0610183921205983E-2</v>
      </c>
      <c r="F42" s="21">
        <f>+C42-90658</f>
        <v>95204</v>
      </c>
      <c r="G42" s="21">
        <f>+D42-97907</f>
        <v>106474</v>
      </c>
      <c r="H42" s="23">
        <f>(+F42-G42)/G42</f>
        <v>-0.10584743693296016</v>
      </c>
      <c r="I42" s="24">
        <f>K42/C42</f>
        <v>75.718013848984725</v>
      </c>
      <c r="J42" s="24">
        <f>K42/F42</f>
        <v>147.8204853787656</v>
      </c>
      <c r="K42" s="21">
        <v>14073101.49</v>
      </c>
      <c r="L42" s="21">
        <v>15308950.33</v>
      </c>
      <c r="M42" s="25">
        <f>(+K42-L42)/L42</f>
        <v>-8.0727209466359265E-2</v>
      </c>
      <c r="N42" s="10"/>
      <c r="R42" s="2"/>
    </row>
    <row r="43" spans="1:18" ht="15.75" x14ac:dyDescent="0.25">
      <c r="A43" s="19"/>
      <c r="B43" s="20">
        <f>DATE(2023,9,1)</f>
        <v>45170</v>
      </c>
      <c r="C43" s="21">
        <v>187631</v>
      </c>
      <c r="D43" s="21">
        <v>195879</v>
      </c>
      <c r="E43" s="23">
        <f>(+C43-D43)/D43</f>
        <v>-4.2107627668101229E-2</v>
      </c>
      <c r="F43" s="21">
        <f>+C43-91547</f>
        <v>96084</v>
      </c>
      <c r="G43" s="21">
        <f>+D43-93599</f>
        <v>102280</v>
      </c>
      <c r="H43" s="23">
        <f>(+F43-G43)/G43</f>
        <v>-6.0578803285099729E-2</v>
      </c>
      <c r="I43" s="24">
        <f>K43/C43</f>
        <v>73.725347463905223</v>
      </c>
      <c r="J43" s="24">
        <f>K43/F43</f>
        <v>143.96945037675368</v>
      </c>
      <c r="K43" s="21">
        <v>13833160.67</v>
      </c>
      <c r="L43" s="21">
        <v>13847415.310000001</v>
      </c>
      <c r="M43" s="25">
        <f>(+K43-L43)/L43</f>
        <v>-1.0294079928191736E-3</v>
      </c>
      <c r="N43" s="10"/>
      <c r="R43" s="2"/>
    </row>
    <row r="44" spans="1:18" ht="15.75" x14ac:dyDescent="0.25">
      <c r="A44" s="19"/>
      <c r="B44" s="20">
        <f>DATE(2023,10,1)</f>
        <v>45200</v>
      </c>
      <c r="C44" s="21">
        <v>183725</v>
      </c>
      <c r="D44" s="21">
        <v>197679</v>
      </c>
      <c r="E44" s="23">
        <f>(+C44-D44)/D44</f>
        <v>-7.058918752118333E-2</v>
      </c>
      <c r="F44" s="21">
        <f>+C44-90840</f>
        <v>92885</v>
      </c>
      <c r="G44" s="21">
        <f>+D44-94885</f>
        <v>102794</v>
      </c>
      <c r="H44" s="23">
        <f>(+F44-G44)/G44</f>
        <v>-9.6396676848843316E-2</v>
      </c>
      <c r="I44" s="24">
        <f>K44/C44</f>
        <v>72.951255517757517</v>
      </c>
      <c r="J44" s="24">
        <f>K44/F44</f>
        <v>144.29638176239436</v>
      </c>
      <c r="K44" s="21">
        <v>13402969.42</v>
      </c>
      <c r="L44" s="21">
        <v>11929810.6</v>
      </c>
      <c r="M44" s="25">
        <f>(+K44-L44)/L44</f>
        <v>0.12348551619084383</v>
      </c>
      <c r="N44" s="10"/>
      <c r="R44" s="2"/>
    </row>
    <row r="45" spans="1:18" ht="15.75" x14ac:dyDescent="0.25">
      <c r="A45" s="19"/>
      <c r="B45" s="20">
        <f>DATE(2023,11,1)</f>
        <v>45231</v>
      </c>
      <c r="C45" s="21">
        <v>168217</v>
      </c>
      <c r="D45" s="21">
        <v>191974</v>
      </c>
      <c r="E45" s="23">
        <f>(+C45-D45)/D45</f>
        <v>-0.12375113296592247</v>
      </c>
      <c r="F45" s="21">
        <f>+C45-79459</f>
        <v>88758</v>
      </c>
      <c r="G45" s="21">
        <f>+D45-91566</f>
        <v>100408</v>
      </c>
      <c r="H45" s="23">
        <f>(+F45-G45)/G45</f>
        <v>-0.11602661142538444</v>
      </c>
      <c r="I45" s="24">
        <f>K45/C45</f>
        <v>75.426880576873927</v>
      </c>
      <c r="J45" s="24">
        <f>K45/F45</f>
        <v>142.95143615223418</v>
      </c>
      <c r="K45" s="21">
        <v>12688083.57</v>
      </c>
      <c r="L45" s="21">
        <v>14099198.119999999</v>
      </c>
      <c r="M45" s="25">
        <f>(+K45-L45)/L45</f>
        <v>-0.10008473801061808</v>
      </c>
      <c r="N45" s="10"/>
      <c r="R45" s="2"/>
    </row>
    <row r="46" spans="1:18" ht="15.75" thickBot="1" x14ac:dyDescent="0.25">
      <c r="A46" s="38"/>
      <c r="B46" s="20"/>
      <c r="C46" s="21"/>
      <c r="D46" s="21"/>
      <c r="E46" s="23"/>
      <c r="F46" s="21"/>
      <c r="G46" s="21"/>
      <c r="H46" s="23"/>
      <c r="I46" s="24"/>
      <c r="J46" s="24"/>
      <c r="K46" s="21"/>
      <c r="L46" s="21"/>
      <c r="M46" s="25"/>
      <c r="N46" s="10"/>
      <c r="R46" s="2"/>
    </row>
    <row r="47" spans="1:18" ht="17.25" thickTop="1" thickBot="1" x14ac:dyDescent="0.3">
      <c r="A47" s="39" t="s">
        <v>14</v>
      </c>
      <c r="B47" s="40"/>
      <c r="C47" s="41">
        <f>SUM(C41:C46)</f>
        <v>925133</v>
      </c>
      <c r="D47" s="41">
        <f>SUM(D41:D46)</f>
        <v>1009043</v>
      </c>
      <c r="E47" s="281">
        <f>(+C47-D47)/D47</f>
        <v>-8.3158002186229929E-2</v>
      </c>
      <c r="F47" s="47">
        <f>SUM(F41:F46)</f>
        <v>477995</v>
      </c>
      <c r="G47" s="48">
        <f>SUM(G41:G46)</f>
        <v>527670</v>
      </c>
      <c r="H47" s="49">
        <f>(+F47-G47)/G47</f>
        <v>-9.4140277067106329E-2</v>
      </c>
      <c r="I47" s="50">
        <f>K47/C47</f>
        <v>74.987098330726511</v>
      </c>
      <c r="J47" s="51">
        <f>K47/F47</f>
        <v>145.13339938702291</v>
      </c>
      <c r="K47" s="48">
        <f>SUM(K41:K46)</f>
        <v>69373039.24000001</v>
      </c>
      <c r="L47" s="47">
        <f>SUM(L41:L46)</f>
        <v>70258683.420000002</v>
      </c>
      <c r="M47" s="44">
        <f>(+K47-L47)/L47</f>
        <v>-1.2605476460549256E-2</v>
      </c>
      <c r="N47" s="10"/>
      <c r="R47" s="2"/>
    </row>
    <row r="48" spans="1:18" ht="15.75" customHeight="1" thickTop="1" x14ac:dyDescent="0.25">
      <c r="A48" s="273"/>
      <c r="B48" s="45"/>
      <c r="C48" s="21"/>
      <c r="D48" s="21"/>
      <c r="E48" s="23"/>
      <c r="F48" s="21"/>
      <c r="G48" s="21"/>
      <c r="H48" s="23"/>
      <c r="I48" s="24"/>
      <c r="J48" s="24"/>
      <c r="K48" s="21"/>
      <c r="L48" s="21"/>
      <c r="M48" s="25"/>
      <c r="N48" s="10"/>
      <c r="R48" s="2"/>
    </row>
    <row r="49" spans="1:18" ht="15.75" x14ac:dyDescent="0.25">
      <c r="A49" s="274" t="s">
        <v>61</v>
      </c>
      <c r="B49" s="20">
        <f>DATE(2023,7,1)</f>
        <v>45108</v>
      </c>
      <c r="C49" s="21">
        <v>94450</v>
      </c>
      <c r="D49" s="21">
        <v>95268</v>
      </c>
      <c r="E49" s="23">
        <f>(+C49-D49)/D49</f>
        <v>-8.5863039005752186E-3</v>
      </c>
      <c r="F49" s="21">
        <f>+C49-47449</f>
        <v>47001</v>
      </c>
      <c r="G49" s="21">
        <f>+D49-47922</f>
        <v>47346</v>
      </c>
      <c r="H49" s="23">
        <f>(+F49-G49)/G49</f>
        <v>-7.2867824103408944E-3</v>
      </c>
      <c r="I49" s="24">
        <f>K49/C49</f>
        <v>66.529558814187396</v>
      </c>
      <c r="J49" s="24">
        <f>K49/F49</f>
        <v>133.69325822854833</v>
      </c>
      <c r="K49" s="21">
        <v>6283716.8300000001</v>
      </c>
      <c r="L49" s="21">
        <v>6260150.0999999996</v>
      </c>
      <c r="M49" s="25">
        <f>(+K49-L49)/L49</f>
        <v>3.7645630893100228E-3</v>
      </c>
      <c r="N49" s="10"/>
      <c r="R49" s="2"/>
    </row>
    <row r="50" spans="1:18" ht="15.75" x14ac:dyDescent="0.25">
      <c r="A50" s="274"/>
      <c r="B50" s="20">
        <f>DATE(2023,8,1)</f>
        <v>45139</v>
      </c>
      <c r="C50" s="21">
        <v>85640</v>
      </c>
      <c r="D50" s="21">
        <v>85207</v>
      </c>
      <c r="E50" s="23">
        <f>(+C50-D50)/D50</f>
        <v>5.0817421103899916E-3</v>
      </c>
      <c r="F50" s="21">
        <f>+C50-42807</f>
        <v>42833</v>
      </c>
      <c r="G50" s="21">
        <f>+D50-42477</f>
        <v>42730</v>
      </c>
      <c r="H50" s="23">
        <f>(+F50-G50)/G50</f>
        <v>2.4104844371635853E-3</v>
      </c>
      <c r="I50" s="24">
        <f>K50/C50</f>
        <v>70.000778608127035</v>
      </c>
      <c r="J50" s="24">
        <f>K50/F50</f>
        <v>139.95906614059254</v>
      </c>
      <c r="K50" s="21">
        <v>5994866.6799999997</v>
      </c>
      <c r="L50" s="21">
        <v>5465144.5899999999</v>
      </c>
      <c r="M50" s="25">
        <f>(+K50-L50)/L50</f>
        <v>9.6927369674587122E-2</v>
      </c>
      <c r="N50" s="10"/>
      <c r="R50" s="2"/>
    </row>
    <row r="51" spans="1:18" ht="15.75" x14ac:dyDescent="0.25">
      <c r="A51" s="274"/>
      <c r="B51" s="20">
        <f>DATE(2023,9,1)</f>
        <v>45170</v>
      </c>
      <c r="C51" s="21">
        <v>85140</v>
      </c>
      <c r="D51" s="21">
        <v>84321</v>
      </c>
      <c r="E51" s="23">
        <f>(+C51-D51)/D51</f>
        <v>9.7128829117301748E-3</v>
      </c>
      <c r="F51" s="21">
        <f>+C51-42349</f>
        <v>42791</v>
      </c>
      <c r="G51" s="21">
        <f>+D51-41917</f>
        <v>42404</v>
      </c>
      <c r="H51" s="23">
        <f>(+F51-G51)/G51</f>
        <v>9.1264975002358275E-3</v>
      </c>
      <c r="I51" s="24">
        <f>K51/C51</f>
        <v>61.348339558374441</v>
      </c>
      <c r="J51" s="24">
        <f>K51/F51</f>
        <v>122.06299525601177</v>
      </c>
      <c r="K51" s="21">
        <v>5223197.63</v>
      </c>
      <c r="L51" s="21">
        <v>5380839.7999999998</v>
      </c>
      <c r="M51" s="25">
        <f>(+K51-L51)/L51</f>
        <v>-2.9296945432198136E-2</v>
      </c>
      <c r="N51" s="10"/>
      <c r="R51" s="2"/>
    </row>
    <row r="52" spans="1:18" ht="15.75" x14ac:dyDescent="0.25">
      <c r="A52" s="274"/>
      <c r="B52" s="20">
        <f>DATE(2023,10,1)</f>
        <v>45200</v>
      </c>
      <c r="C52" s="21">
        <v>78312</v>
      </c>
      <c r="D52" s="21">
        <v>85227</v>
      </c>
      <c r="E52" s="23">
        <f>(+C52-D52)/D52</f>
        <v>-8.1136259636030841E-2</v>
      </c>
      <c r="F52" s="21">
        <f>+C52-38948</f>
        <v>39364</v>
      </c>
      <c r="G52" s="21">
        <f>+D52-43095</f>
        <v>42132</v>
      </c>
      <c r="H52" s="23">
        <f>(+F52-G52)/G52</f>
        <v>-6.5698281591189595E-2</v>
      </c>
      <c r="I52" s="24">
        <f>K52/C52</f>
        <v>66.954319772193287</v>
      </c>
      <c r="J52" s="24">
        <f>K52/F52</f>
        <v>133.20106417030792</v>
      </c>
      <c r="K52" s="21">
        <v>5243326.6900000004</v>
      </c>
      <c r="L52" s="21">
        <v>5518454.2199999997</v>
      </c>
      <c r="M52" s="25">
        <f>(+K52-L52)/L52</f>
        <v>-4.9855905119749154E-2</v>
      </c>
      <c r="N52" s="10"/>
      <c r="R52" s="2"/>
    </row>
    <row r="53" spans="1:18" ht="15.75" x14ac:dyDescent="0.25">
      <c r="A53" s="274"/>
      <c r="B53" s="20">
        <f>DATE(2023,11,1)</f>
        <v>45231</v>
      </c>
      <c r="C53" s="21">
        <v>76656</v>
      </c>
      <c r="D53" s="21">
        <v>76718</v>
      </c>
      <c r="E53" s="23">
        <f>(+C53-D53)/D53</f>
        <v>-8.0815454000364971E-4</v>
      </c>
      <c r="F53" s="21">
        <f>+C53-38503</f>
        <v>38153</v>
      </c>
      <c r="G53" s="21">
        <f>+D53-38746</f>
        <v>37972</v>
      </c>
      <c r="H53" s="23">
        <f>(+F53-G53)/G53</f>
        <v>4.7666701780259141E-3</v>
      </c>
      <c r="I53" s="24">
        <f>K53/C53</f>
        <v>68.035706011271131</v>
      </c>
      <c r="J53" s="24">
        <f>K53/F53</f>
        <v>136.69554373181663</v>
      </c>
      <c r="K53" s="21">
        <v>5215345.08</v>
      </c>
      <c r="L53" s="21">
        <v>5081236.03</v>
      </c>
      <c r="M53" s="25">
        <f>(+K53-L53)/L53</f>
        <v>2.6392997532137825E-2</v>
      </c>
      <c r="N53" s="10"/>
      <c r="R53" s="2"/>
    </row>
    <row r="54" spans="1:18" ht="15.75" customHeight="1" thickBot="1" x14ac:dyDescent="0.3">
      <c r="A54" s="19"/>
      <c r="B54" s="20"/>
      <c r="C54" s="21"/>
      <c r="D54" s="21"/>
      <c r="E54" s="23"/>
      <c r="F54" s="21"/>
      <c r="G54" s="21"/>
      <c r="H54" s="23"/>
      <c r="I54" s="24"/>
      <c r="J54" s="24"/>
      <c r="K54" s="21"/>
      <c r="L54" s="21"/>
      <c r="M54" s="25"/>
      <c r="N54" s="10"/>
      <c r="R54" s="2"/>
    </row>
    <row r="55" spans="1:18" ht="17.45" customHeight="1" thickTop="1" thickBot="1" x14ac:dyDescent="0.3">
      <c r="A55" s="39" t="s">
        <v>14</v>
      </c>
      <c r="B55" s="52"/>
      <c r="C55" s="47">
        <f>SUM(C49:C54)</f>
        <v>420198</v>
      </c>
      <c r="D55" s="48">
        <f>SUM(D49:D54)</f>
        <v>426741</v>
      </c>
      <c r="E55" s="281">
        <f>(+C55-D55)/D55</f>
        <v>-1.5332485043621306E-2</v>
      </c>
      <c r="F55" s="48">
        <f>SUM(F49:F54)</f>
        <v>210142</v>
      </c>
      <c r="G55" s="47">
        <f>SUM(G49:G54)</f>
        <v>212584</v>
      </c>
      <c r="H55" s="46">
        <f>(+F55-G55)/G55</f>
        <v>-1.1487223873856922E-2</v>
      </c>
      <c r="I55" s="51">
        <f>K55/C55</f>
        <v>66.541137535162008</v>
      </c>
      <c r="J55" s="50">
        <f>K55/F55</f>
        <v>133.05504330405157</v>
      </c>
      <c r="K55" s="47">
        <f>SUM(K49:K54)</f>
        <v>27960452.910000004</v>
      </c>
      <c r="L55" s="48">
        <f>SUM(L49:L54)</f>
        <v>27705824.739999998</v>
      </c>
      <c r="M55" s="44">
        <f>(+K55-L55)/L55</f>
        <v>9.190420151340549E-3</v>
      </c>
      <c r="N55" s="10"/>
      <c r="R55" s="2"/>
    </row>
    <row r="56" spans="1:18" ht="15.75" customHeight="1" thickTop="1" x14ac:dyDescent="0.25">
      <c r="A56" s="19"/>
      <c r="B56" s="45"/>
      <c r="C56" s="21"/>
      <c r="D56" s="21"/>
      <c r="E56" s="23"/>
      <c r="F56" s="21"/>
      <c r="G56" s="21"/>
      <c r="H56" s="23"/>
      <c r="I56" s="24"/>
      <c r="J56" s="24"/>
      <c r="K56" s="21"/>
      <c r="L56" s="21"/>
      <c r="M56" s="25"/>
      <c r="N56" s="10"/>
      <c r="R56" s="2"/>
    </row>
    <row r="57" spans="1:18" ht="15.75" x14ac:dyDescent="0.25">
      <c r="A57" s="19" t="s">
        <v>67</v>
      </c>
      <c r="B57" s="20">
        <f>DATE(2023,7,1)</f>
        <v>45108</v>
      </c>
      <c r="C57" s="21">
        <v>219120</v>
      </c>
      <c r="D57" s="21">
        <v>220596</v>
      </c>
      <c r="E57" s="23">
        <f>(+C57-D57)/D57</f>
        <v>-6.6909644780503725E-3</v>
      </c>
      <c r="F57" s="21">
        <f>+C57-104679</f>
        <v>114441</v>
      </c>
      <c r="G57" s="21">
        <f>+D57-105104</f>
        <v>115492</v>
      </c>
      <c r="H57" s="23">
        <f>(+F57-G57)/G57</f>
        <v>-9.1001974162712562E-3</v>
      </c>
      <c r="I57" s="24">
        <f>K57/C57</f>
        <v>49.308570098576126</v>
      </c>
      <c r="J57" s="24">
        <f>K57/F57</f>
        <v>94.411040448790217</v>
      </c>
      <c r="K57" s="21">
        <v>10804493.880000001</v>
      </c>
      <c r="L57" s="21">
        <v>10606782.82</v>
      </c>
      <c r="M57" s="25">
        <f>(+K57-L57)/L57</f>
        <v>1.8640059229571414E-2</v>
      </c>
      <c r="N57" s="10"/>
      <c r="R57" s="2"/>
    </row>
    <row r="58" spans="1:18" ht="15.75" x14ac:dyDescent="0.25">
      <c r="A58" s="19"/>
      <c r="B58" s="20">
        <f>DATE(2023,8,1)</f>
        <v>45139</v>
      </c>
      <c r="C58" s="21">
        <v>218088</v>
      </c>
      <c r="D58" s="21">
        <v>204208</v>
      </c>
      <c r="E58" s="23">
        <f>(+C58-D58)/D58</f>
        <v>6.7969913029851919E-2</v>
      </c>
      <c r="F58" s="21">
        <f>+C58-101100</f>
        <v>116988</v>
      </c>
      <c r="G58" s="21">
        <f>+D58-95602</f>
        <v>108606</v>
      </c>
      <c r="H58" s="23">
        <f>(+F58-G58)/G58</f>
        <v>7.7178056460969008E-2</v>
      </c>
      <c r="I58" s="24">
        <f>K58/C58</f>
        <v>49.852029364293315</v>
      </c>
      <c r="J58" s="24">
        <f>K58/F58</f>
        <v>92.93371439805793</v>
      </c>
      <c r="K58" s="21">
        <v>10872129.380000001</v>
      </c>
      <c r="L58" s="21">
        <v>10300469.970000001</v>
      </c>
      <c r="M58" s="25">
        <f>(+K58-L58)/L58</f>
        <v>5.5498381303469797E-2</v>
      </c>
      <c r="N58" s="10"/>
      <c r="R58" s="2"/>
    </row>
    <row r="59" spans="1:18" ht="15.75" x14ac:dyDescent="0.25">
      <c r="A59" s="19"/>
      <c r="B59" s="20">
        <f>DATE(2023,9,1)</f>
        <v>45170</v>
      </c>
      <c r="C59" s="21">
        <v>241793</v>
      </c>
      <c r="D59" s="21">
        <v>202639</v>
      </c>
      <c r="E59" s="23">
        <f>(+C59-D59)/D59</f>
        <v>0.19322045608199803</v>
      </c>
      <c r="F59" s="21">
        <f>+C59-107184</f>
        <v>134609</v>
      </c>
      <c r="G59" s="21">
        <f>+D59-96056</f>
        <v>106583</v>
      </c>
      <c r="H59" s="23">
        <f>(+F59-G59)/G59</f>
        <v>0.26295000140735392</v>
      </c>
      <c r="I59" s="24">
        <f>K59/C59</f>
        <v>48.595700785382533</v>
      </c>
      <c r="J59" s="24">
        <f>K59/F59</f>
        <v>87.290599291280671</v>
      </c>
      <c r="K59" s="21">
        <v>11750100.279999999</v>
      </c>
      <c r="L59" s="21">
        <v>9829370.3000000007</v>
      </c>
      <c r="M59" s="25">
        <f>(+K59-L59)/L59</f>
        <v>0.19540722562868534</v>
      </c>
      <c r="N59" s="10"/>
      <c r="R59" s="2"/>
    </row>
    <row r="60" spans="1:18" ht="15.75" x14ac:dyDescent="0.25">
      <c r="A60" s="19"/>
      <c r="B60" s="20">
        <f>DATE(2023,10,1)</f>
        <v>45200</v>
      </c>
      <c r="C60" s="21">
        <v>245062</v>
      </c>
      <c r="D60" s="21">
        <v>197805</v>
      </c>
      <c r="E60" s="23">
        <f>(+C60-D60)/D60</f>
        <v>0.23890700437299361</v>
      </c>
      <c r="F60" s="21">
        <f>+C60-106359</f>
        <v>138703</v>
      </c>
      <c r="G60" s="21">
        <f>+D60-92993</f>
        <v>104812</v>
      </c>
      <c r="H60" s="23">
        <f>(+F60-G60)/G60</f>
        <v>0.32335037972751213</v>
      </c>
      <c r="I60" s="24">
        <f>K60/C60</f>
        <v>48.159280590217982</v>
      </c>
      <c r="J60" s="24">
        <f>K60/F60</f>
        <v>85.088351513665884</v>
      </c>
      <c r="K60" s="21">
        <v>11802009.619999999</v>
      </c>
      <c r="L60" s="21">
        <v>10418532.619999999</v>
      </c>
      <c r="M60" s="25">
        <f>(+K60-L60)/L60</f>
        <v>0.13279000512454125</v>
      </c>
      <c r="N60" s="10"/>
      <c r="R60" s="2"/>
    </row>
    <row r="61" spans="1:18" ht="15.75" x14ac:dyDescent="0.25">
      <c r="A61" s="19"/>
      <c r="B61" s="20">
        <f>DATE(2023,11,1)</f>
        <v>45231</v>
      </c>
      <c r="C61" s="21">
        <v>235405</v>
      </c>
      <c r="D61" s="21">
        <v>202426</v>
      </c>
      <c r="E61" s="23">
        <f>(+C61-D61)/D61</f>
        <v>0.16291879501645046</v>
      </c>
      <c r="F61" s="21">
        <f>+C61-106060</f>
        <v>129345</v>
      </c>
      <c r="G61" s="21">
        <f>+D61-94010</f>
        <v>108416</v>
      </c>
      <c r="H61" s="23">
        <f>(+F61-G61)/G61</f>
        <v>0.19304346221959859</v>
      </c>
      <c r="I61" s="24">
        <f>K61/C61</f>
        <v>49.232400713663679</v>
      </c>
      <c r="J61" s="24">
        <f>K61/F61</f>
        <v>89.60186547605241</v>
      </c>
      <c r="K61" s="21">
        <v>11589553.289999999</v>
      </c>
      <c r="L61" s="21">
        <v>10533865.85</v>
      </c>
      <c r="M61" s="25">
        <f>(+K61-L61)/L61</f>
        <v>0.10021842455872926</v>
      </c>
      <c r="N61" s="10"/>
      <c r="R61" s="2"/>
    </row>
    <row r="62" spans="1:18" ht="15.75" customHeight="1" thickBot="1" x14ac:dyDescent="0.3">
      <c r="A62" s="19"/>
      <c r="B62" s="45"/>
      <c r="C62" s="21"/>
      <c r="D62" s="21"/>
      <c r="E62" s="23"/>
      <c r="F62" s="21"/>
      <c r="G62" s="21"/>
      <c r="H62" s="23"/>
      <c r="I62" s="24"/>
      <c r="J62" s="24"/>
      <c r="K62" s="21"/>
      <c r="L62" s="21"/>
      <c r="M62" s="25"/>
      <c r="N62" s="10"/>
      <c r="R62" s="2"/>
    </row>
    <row r="63" spans="1:18" ht="17.45" customHeight="1" thickTop="1" thickBot="1" x14ac:dyDescent="0.3">
      <c r="A63" s="39" t="s">
        <v>14</v>
      </c>
      <c r="B63" s="52"/>
      <c r="C63" s="47">
        <f>SUM(C57:C62)</f>
        <v>1159468</v>
      </c>
      <c r="D63" s="48">
        <f>SUM(D57:D62)</f>
        <v>1027674</v>
      </c>
      <c r="E63" s="281">
        <f>(+C63-D63)/D63</f>
        <v>0.12824494927379695</v>
      </c>
      <c r="F63" s="48">
        <f>SUM(F57:F62)</f>
        <v>634086</v>
      </c>
      <c r="G63" s="47">
        <f>SUM(G57:G62)</f>
        <v>543909</v>
      </c>
      <c r="H63" s="53">
        <f>(+F63-G63)/G63</f>
        <v>0.1657942780869594</v>
      </c>
      <c r="I63" s="51">
        <f>K63/C63</f>
        <v>49.003755558583762</v>
      </c>
      <c r="J63" s="50">
        <f>K63/F63</f>
        <v>89.606593506243627</v>
      </c>
      <c r="K63" s="47">
        <f>SUM(K57:K62)</f>
        <v>56818286.449999996</v>
      </c>
      <c r="L63" s="48">
        <f>SUM(L57:L62)</f>
        <v>51689021.560000002</v>
      </c>
      <c r="M63" s="44">
        <f>(+K63-L63)/L63</f>
        <v>9.9233158902921059E-2</v>
      </c>
      <c r="N63" s="10"/>
      <c r="R63" s="2"/>
    </row>
    <row r="64" spans="1:18" ht="15.75" customHeight="1" thickTop="1" x14ac:dyDescent="0.25">
      <c r="A64" s="19"/>
      <c r="B64" s="45"/>
      <c r="C64" s="21"/>
      <c r="D64" s="21"/>
      <c r="E64" s="23"/>
      <c r="F64" s="21"/>
      <c r="G64" s="21"/>
      <c r="H64" s="23"/>
      <c r="I64" s="24"/>
      <c r="J64" s="24"/>
      <c r="K64" s="21"/>
      <c r="L64" s="21"/>
      <c r="M64" s="25"/>
      <c r="N64" s="10"/>
      <c r="R64" s="2"/>
    </row>
    <row r="65" spans="1:18" ht="15.75" customHeight="1" x14ac:dyDescent="0.25">
      <c r="A65" s="19" t="s">
        <v>69</v>
      </c>
      <c r="B65" s="20">
        <f>DATE(2023,7,1)</f>
        <v>45108</v>
      </c>
      <c r="C65" s="21">
        <v>227955</v>
      </c>
      <c r="D65" s="21">
        <v>226404</v>
      </c>
      <c r="E65" s="23">
        <f>(+C65-D65)/D65</f>
        <v>6.8505856786982566E-3</v>
      </c>
      <c r="F65" s="21">
        <f>+C65-105186</f>
        <v>122769</v>
      </c>
      <c r="G65" s="21">
        <f>+D65-105902</f>
        <v>120502</v>
      </c>
      <c r="H65" s="23">
        <f>(+F65-G65)/G65</f>
        <v>1.8812965759904401E-2</v>
      </c>
      <c r="I65" s="24">
        <f>K65/C65</f>
        <v>61.567241209887918</v>
      </c>
      <c r="J65" s="24">
        <f>K65/F65</f>
        <v>114.31681018823971</v>
      </c>
      <c r="K65" s="21">
        <v>14034560.470000001</v>
      </c>
      <c r="L65" s="21">
        <v>13168404.74</v>
      </c>
      <c r="M65" s="25">
        <f>(+K65-L65)/L65</f>
        <v>6.5775296788151458E-2</v>
      </c>
      <c r="N65" s="10"/>
      <c r="R65" s="2"/>
    </row>
    <row r="66" spans="1:18" ht="15.75" customHeight="1" x14ac:dyDescent="0.25">
      <c r="A66" s="19"/>
      <c r="B66" s="20">
        <f>DATE(2023,8,1)</f>
        <v>45139</v>
      </c>
      <c r="C66" s="21">
        <v>213943</v>
      </c>
      <c r="D66" s="21">
        <v>232585</v>
      </c>
      <c r="E66" s="23">
        <f>(+C66-D66)/D66</f>
        <v>-8.0151342519938953E-2</v>
      </c>
      <c r="F66" s="21">
        <f>+C66-98836</f>
        <v>115107</v>
      </c>
      <c r="G66" s="21">
        <f>+D66-107552</f>
        <v>125033</v>
      </c>
      <c r="H66" s="23">
        <f>(+F66-G66)/G66</f>
        <v>-7.9387041820959264E-2</v>
      </c>
      <c r="I66" s="24">
        <f>K66/C66</f>
        <v>61.074573881828343</v>
      </c>
      <c r="J66" s="24">
        <f>K66/F66</f>
        <v>113.51592483515338</v>
      </c>
      <c r="K66" s="21">
        <v>13066477.560000001</v>
      </c>
      <c r="L66" s="21">
        <v>13927721.449999999</v>
      </c>
      <c r="M66" s="25">
        <f>(+K66-L66)/L66</f>
        <v>-6.1836668193848664E-2</v>
      </c>
      <c r="N66" s="10"/>
      <c r="R66" s="2"/>
    </row>
    <row r="67" spans="1:18" ht="15.75" customHeight="1" x14ac:dyDescent="0.25">
      <c r="A67" s="19"/>
      <c r="B67" s="20">
        <f>DATE(2023,9,1)</f>
        <v>45170</v>
      </c>
      <c r="C67" s="21">
        <v>210806</v>
      </c>
      <c r="D67" s="21">
        <v>229799</v>
      </c>
      <c r="E67" s="23">
        <f>(+C67-D67)/D67</f>
        <v>-8.2650490211010494E-2</v>
      </c>
      <c r="F67" s="21">
        <f>+C67-94978</f>
        <v>115828</v>
      </c>
      <c r="G67" s="21">
        <f>+D67-107359</f>
        <v>122440</v>
      </c>
      <c r="H67" s="23">
        <f>(+F67-G67)/G67</f>
        <v>-5.4001960143743873E-2</v>
      </c>
      <c r="I67" s="24">
        <f>K67/C67</f>
        <v>64.684465907042494</v>
      </c>
      <c r="J67" s="24">
        <f>K67/F67</f>
        <v>117.72519183617086</v>
      </c>
      <c r="K67" s="21">
        <v>13635873.52</v>
      </c>
      <c r="L67" s="21">
        <v>13521948.51</v>
      </c>
      <c r="M67" s="25">
        <f>(+K67-L67)/L67</f>
        <v>8.4251918217073413E-3</v>
      </c>
      <c r="N67" s="10"/>
      <c r="R67" s="2"/>
    </row>
    <row r="68" spans="1:18" ht="15.75" customHeight="1" x14ac:dyDescent="0.25">
      <c r="A68" s="19"/>
      <c r="B68" s="20">
        <f>DATE(2023,10,1)</f>
        <v>45200</v>
      </c>
      <c r="C68" s="21">
        <v>192200</v>
      </c>
      <c r="D68" s="21">
        <v>212700</v>
      </c>
      <c r="E68" s="23">
        <f>(+C68-D68)/D68</f>
        <v>-9.6379877762106256E-2</v>
      </c>
      <c r="F68" s="21">
        <f>+C68-87717</f>
        <v>104483</v>
      </c>
      <c r="G68" s="21">
        <f>+D68-99072</f>
        <v>113628</v>
      </c>
      <c r="H68" s="23">
        <f>(+F68-G68)/G68</f>
        <v>-8.0481923469567354E-2</v>
      </c>
      <c r="I68" s="24">
        <f>K68/C68</f>
        <v>60.226780332986472</v>
      </c>
      <c r="J68" s="24">
        <f>K68/F68</f>
        <v>110.78919230879664</v>
      </c>
      <c r="K68" s="21">
        <v>11575587.18</v>
      </c>
      <c r="L68" s="21">
        <v>12950831.189999999</v>
      </c>
      <c r="M68" s="25">
        <f>(+K68-L68)/L68</f>
        <v>-0.10618963291420988</v>
      </c>
      <c r="N68" s="10"/>
      <c r="R68" s="2"/>
    </row>
    <row r="69" spans="1:18" ht="15.75" customHeight="1" x14ac:dyDescent="0.25">
      <c r="A69" s="19"/>
      <c r="B69" s="20">
        <f>DATE(2023,11,1)</f>
        <v>45231</v>
      </c>
      <c r="C69" s="21">
        <v>197061</v>
      </c>
      <c r="D69" s="21">
        <v>191508</v>
      </c>
      <c r="E69" s="23">
        <f>(+C69-D69)/D69</f>
        <v>2.899617770537001E-2</v>
      </c>
      <c r="F69" s="21">
        <f>+C69-91318</f>
        <v>105743</v>
      </c>
      <c r="G69" s="21">
        <f>+D69-91306</f>
        <v>100202</v>
      </c>
      <c r="H69" s="23">
        <f>(+F69-G69)/G69</f>
        <v>5.5298297439172868E-2</v>
      </c>
      <c r="I69" s="24">
        <f>K69/C69</f>
        <v>61.029115654543517</v>
      </c>
      <c r="J69" s="24">
        <f>K69/F69</f>
        <v>113.73290487313581</v>
      </c>
      <c r="K69" s="21">
        <v>12026458.560000001</v>
      </c>
      <c r="L69" s="21">
        <v>11870439.130000001</v>
      </c>
      <c r="M69" s="25">
        <f>(+K69-L69)/L69</f>
        <v>1.3143526392860556E-2</v>
      </c>
      <c r="N69" s="10"/>
      <c r="R69" s="2"/>
    </row>
    <row r="70" spans="1:18" ht="15.75" customHeight="1" thickBot="1" x14ac:dyDescent="0.3">
      <c r="A70" s="19"/>
      <c r="B70" s="45"/>
      <c r="C70" s="21"/>
      <c r="D70" s="21"/>
      <c r="E70" s="23"/>
      <c r="F70" s="21"/>
      <c r="G70" s="21"/>
      <c r="H70" s="23"/>
      <c r="I70" s="24"/>
      <c r="J70" s="24"/>
      <c r="K70" s="21"/>
      <c r="L70" s="21"/>
      <c r="M70" s="25"/>
      <c r="N70" s="10"/>
      <c r="R70" s="2"/>
    </row>
    <row r="71" spans="1:18" ht="17.25" thickTop="1" thickBot="1" x14ac:dyDescent="0.3">
      <c r="A71" s="39" t="s">
        <v>14</v>
      </c>
      <c r="B71" s="40"/>
      <c r="C71" s="41">
        <f>SUM(C65:C70)</f>
        <v>1041965</v>
      </c>
      <c r="D71" s="41">
        <f>SUM(D65:D70)</f>
        <v>1092996</v>
      </c>
      <c r="E71" s="280">
        <f>(+C71-D71)/D71</f>
        <v>-4.668910041756786E-2</v>
      </c>
      <c r="F71" s="41">
        <f>SUM(F65:F70)</f>
        <v>563930</v>
      </c>
      <c r="G71" s="41">
        <f>SUM(G65:G70)</f>
        <v>581805</v>
      </c>
      <c r="H71" s="42">
        <f>(+F71-G71)/G71</f>
        <v>-3.0723352325951137E-2</v>
      </c>
      <c r="I71" s="43">
        <f>K71/C71</f>
        <v>61.747714452980667</v>
      </c>
      <c r="J71" s="43">
        <f>K71/F71</f>
        <v>114.09032555459011</v>
      </c>
      <c r="K71" s="41">
        <f>SUM(K65:K70)</f>
        <v>64338957.289999999</v>
      </c>
      <c r="L71" s="41">
        <f>SUM(L65:L70)</f>
        <v>65439345.019999996</v>
      </c>
      <c r="M71" s="44">
        <f>(+K71-L71)/L71</f>
        <v>-1.68153842258612E-2</v>
      </c>
      <c r="N71" s="10"/>
      <c r="R71" s="2"/>
    </row>
    <row r="72" spans="1:18" ht="15.75" customHeight="1" thickTop="1" x14ac:dyDescent="0.2">
      <c r="A72" s="54"/>
      <c r="B72" s="55"/>
      <c r="C72" s="55"/>
      <c r="D72" s="55"/>
      <c r="E72" s="56"/>
      <c r="F72" s="55"/>
      <c r="G72" s="55"/>
      <c r="H72" s="56"/>
      <c r="I72" s="55"/>
      <c r="J72" s="55"/>
      <c r="K72" s="196"/>
      <c r="L72" s="196"/>
      <c r="M72" s="57"/>
      <c r="N72" s="10"/>
      <c r="R72" s="2"/>
    </row>
    <row r="73" spans="1:18" ht="15.75" customHeight="1" x14ac:dyDescent="0.25">
      <c r="A73" s="19" t="s">
        <v>16</v>
      </c>
      <c r="B73" s="20">
        <f>DATE(2023,7,1)</f>
        <v>45108</v>
      </c>
      <c r="C73" s="21">
        <v>262088</v>
      </c>
      <c r="D73" s="21">
        <v>271337</v>
      </c>
      <c r="E73" s="23">
        <f>(+C73-D73)/D73</f>
        <v>-3.4086762955291762E-2</v>
      </c>
      <c r="F73" s="21">
        <f>+C73-132418</f>
        <v>129670</v>
      </c>
      <c r="G73" s="21">
        <f>+D73-134570</f>
        <v>136767</v>
      </c>
      <c r="H73" s="23">
        <f>(+F73-G73)/G73</f>
        <v>-5.1891172578180406E-2</v>
      </c>
      <c r="I73" s="24">
        <f>K73/C73</f>
        <v>67.305416539482934</v>
      </c>
      <c r="J73" s="24">
        <f>K73/F73</f>
        <v>136.03718678183083</v>
      </c>
      <c r="K73" s="21">
        <v>17639942.010000002</v>
      </c>
      <c r="L73" s="21">
        <v>18204043.98</v>
      </c>
      <c r="M73" s="25">
        <f>(+K73-L73)/L73</f>
        <v>-3.0987728365178272E-2</v>
      </c>
      <c r="N73" s="10"/>
      <c r="R73" s="2"/>
    </row>
    <row r="74" spans="1:18" ht="15.75" customHeight="1" x14ac:dyDescent="0.25">
      <c r="A74" s="19"/>
      <c r="B74" s="20">
        <f>DATE(2023,8,1)</f>
        <v>45139</v>
      </c>
      <c r="C74" s="21">
        <v>239223</v>
      </c>
      <c r="D74" s="21">
        <v>244622</v>
      </c>
      <c r="E74" s="23">
        <f>(+C74-D74)/D74</f>
        <v>-2.2070786764886233E-2</v>
      </c>
      <c r="F74" s="21">
        <f>+C74-117748</f>
        <v>121475</v>
      </c>
      <c r="G74" s="21">
        <f>+D74-120033</f>
        <v>124589</v>
      </c>
      <c r="H74" s="23">
        <f>(+F74-G74)/G74</f>
        <v>-2.4994180866689676E-2</v>
      </c>
      <c r="I74" s="24">
        <f>K74/C74</f>
        <v>68.308296568473764</v>
      </c>
      <c r="J74" s="24">
        <f>K74/F74</f>
        <v>134.52081193661249</v>
      </c>
      <c r="K74" s="21">
        <v>16340915.630000001</v>
      </c>
      <c r="L74" s="21">
        <v>16440004.18</v>
      </c>
      <c r="M74" s="25">
        <f>(+K74-L74)/L74</f>
        <v>-6.0272825307760283E-3</v>
      </c>
      <c r="N74" s="10"/>
      <c r="R74" s="2"/>
    </row>
    <row r="75" spans="1:18" ht="15.75" customHeight="1" x14ac:dyDescent="0.25">
      <c r="A75" s="19"/>
      <c r="B75" s="20">
        <f>DATE(2023,9,1)</f>
        <v>45170</v>
      </c>
      <c r="C75" s="21">
        <v>248313</v>
      </c>
      <c r="D75" s="21">
        <v>238237</v>
      </c>
      <c r="E75" s="23">
        <f>(+C75-D75)/D75</f>
        <v>4.2294018141598493E-2</v>
      </c>
      <c r="F75" s="21">
        <f>+C75-122761</f>
        <v>125552</v>
      </c>
      <c r="G75" s="21">
        <f>+D75-117564</f>
        <v>120673</v>
      </c>
      <c r="H75" s="23">
        <f>(+F75-G75)/G75</f>
        <v>4.0431579557978999E-2</v>
      </c>
      <c r="I75" s="24">
        <f>K75/C75</f>
        <v>67.885279143661435</v>
      </c>
      <c r="J75" s="24">
        <f>K75/F75</f>
        <v>134.26147986491654</v>
      </c>
      <c r="K75" s="21">
        <v>16856797.32</v>
      </c>
      <c r="L75" s="21">
        <v>16961699.789999999</v>
      </c>
      <c r="M75" s="25">
        <f>(+K75-L75)/L75</f>
        <v>-6.1846672974276724E-3</v>
      </c>
      <c r="N75" s="10"/>
      <c r="R75" s="2"/>
    </row>
    <row r="76" spans="1:18" ht="15.75" customHeight="1" x14ac:dyDescent="0.25">
      <c r="A76" s="19"/>
      <c r="B76" s="20">
        <f>DATE(2023,10,1)</f>
        <v>45200</v>
      </c>
      <c r="C76" s="21">
        <v>227962</v>
      </c>
      <c r="D76" s="21">
        <v>243168</v>
      </c>
      <c r="E76" s="23">
        <f>(+C76-D76)/D76</f>
        <v>-6.2532899065666531E-2</v>
      </c>
      <c r="F76" s="21">
        <f>+C76-111422</f>
        <v>116540</v>
      </c>
      <c r="G76" s="21">
        <f>+D76-122237</f>
        <v>120931</v>
      </c>
      <c r="H76" s="23">
        <f>(+F76-G76)/G76</f>
        <v>-3.6309961879088075E-2</v>
      </c>
      <c r="I76" s="24">
        <f>K76/C76</f>
        <v>69.891412647721992</v>
      </c>
      <c r="J76" s="24">
        <f>K76/F76</f>
        <v>136.71345640981639</v>
      </c>
      <c r="K76" s="21">
        <v>15932586.210000001</v>
      </c>
      <c r="L76" s="21">
        <v>16273788.960000001</v>
      </c>
      <c r="M76" s="25">
        <f>(+K76-L76)/L76</f>
        <v>-2.0966398841637673E-2</v>
      </c>
      <c r="N76" s="10"/>
      <c r="R76" s="2"/>
    </row>
    <row r="77" spans="1:18" ht="15.75" customHeight="1" x14ac:dyDescent="0.25">
      <c r="A77" s="19"/>
      <c r="B77" s="20">
        <f>DATE(2023,11,1)</f>
        <v>45231</v>
      </c>
      <c r="C77" s="21">
        <v>224275</v>
      </c>
      <c r="D77" s="21">
        <v>218400</v>
      </c>
      <c r="E77" s="23">
        <f>(+C77-D77)/D77</f>
        <v>2.6900183150183152E-2</v>
      </c>
      <c r="F77" s="21">
        <f>+C77-108771</f>
        <v>115504</v>
      </c>
      <c r="G77" s="21">
        <f>+D77-108404</f>
        <v>109996</v>
      </c>
      <c r="H77" s="23">
        <f>(+F77-G77)/G77</f>
        <v>5.0074548165387832E-2</v>
      </c>
      <c r="I77" s="24">
        <f>K77/C77</f>
        <v>65.56001431278564</v>
      </c>
      <c r="J77" s="24">
        <f>K77/F77</f>
        <v>127.29838109502703</v>
      </c>
      <c r="K77" s="21">
        <v>14703472.210000001</v>
      </c>
      <c r="L77" s="21">
        <v>15198397.5</v>
      </c>
      <c r="M77" s="25">
        <f>(+K77-L77)/L77</f>
        <v>-3.2564307519921037E-2</v>
      </c>
      <c r="N77" s="10"/>
      <c r="R77" s="2"/>
    </row>
    <row r="78" spans="1:18" ht="15.75" customHeight="1" thickBot="1" x14ac:dyDescent="0.3">
      <c r="A78" s="19"/>
      <c r="B78" s="45"/>
      <c r="C78" s="21"/>
      <c r="D78" s="21"/>
      <c r="E78" s="23"/>
      <c r="F78" s="21"/>
      <c r="G78" s="21"/>
      <c r="H78" s="23"/>
      <c r="I78" s="24"/>
      <c r="J78" s="24"/>
      <c r="K78" s="21"/>
      <c r="L78" s="21"/>
      <c r="M78" s="25"/>
      <c r="N78" s="10"/>
      <c r="R78" s="2"/>
    </row>
    <row r="79" spans="1:18" ht="17.25" thickTop="1" thickBot="1" x14ac:dyDescent="0.3">
      <c r="A79" s="39" t="s">
        <v>14</v>
      </c>
      <c r="B79" s="40"/>
      <c r="C79" s="41">
        <f>SUM(C73:C78)</f>
        <v>1201861</v>
      </c>
      <c r="D79" s="41">
        <f>SUM(D73:D78)</f>
        <v>1215764</v>
      </c>
      <c r="E79" s="280">
        <f>(+C79-D79)/D79</f>
        <v>-1.1435607568574164E-2</v>
      </c>
      <c r="F79" s="41">
        <f>SUM(F73:F78)</f>
        <v>608741</v>
      </c>
      <c r="G79" s="41">
        <f>SUM(G73:G78)</f>
        <v>612956</v>
      </c>
      <c r="H79" s="42">
        <f>(+F79-G79)/G79</f>
        <v>-6.8765131591827146E-3</v>
      </c>
      <c r="I79" s="43">
        <f>K79/C79</f>
        <v>67.789630731007989</v>
      </c>
      <c r="J79" s="43">
        <f>K79/F79</f>
        <v>133.83970092370976</v>
      </c>
      <c r="K79" s="41">
        <f>SUM(K73:K78)</f>
        <v>81473713.379999995</v>
      </c>
      <c r="L79" s="41">
        <f>SUM(L73:L78)</f>
        <v>83077934.409999996</v>
      </c>
      <c r="M79" s="44">
        <f>(+K79-L79)/L79</f>
        <v>-1.930983288634705E-2</v>
      </c>
      <c r="N79" s="10"/>
      <c r="R79" s="2"/>
    </row>
    <row r="80" spans="1:18" ht="15.75" customHeight="1" thickTop="1" x14ac:dyDescent="0.2">
      <c r="A80" s="54"/>
      <c r="B80" s="55"/>
      <c r="C80" s="55"/>
      <c r="D80" s="55"/>
      <c r="E80" s="56"/>
      <c r="F80" s="55"/>
      <c r="G80" s="55"/>
      <c r="H80" s="56"/>
      <c r="I80" s="55"/>
      <c r="J80" s="55"/>
      <c r="K80" s="196"/>
      <c r="L80" s="196"/>
      <c r="M80" s="57"/>
      <c r="N80" s="10"/>
      <c r="R80" s="2"/>
    </row>
    <row r="81" spans="1:18" ht="15.75" customHeight="1" x14ac:dyDescent="0.25">
      <c r="A81" s="19" t="s">
        <v>53</v>
      </c>
      <c r="B81" s="20">
        <f>DATE(2023,7,1)</f>
        <v>45108</v>
      </c>
      <c r="C81" s="21">
        <v>372664</v>
      </c>
      <c r="D81" s="21">
        <v>358906</v>
      </c>
      <c r="E81" s="23">
        <f>(+C81-D81)/D81</f>
        <v>3.8333156871158465E-2</v>
      </c>
      <c r="F81" s="21">
        <f>+C81-175639</f>
        <v>197025</v>
      </c>
      <c r="G81" s="21">
        <f>+D81-172463</f>
        <v>186443</v>
      </c>
      <c r="H81" s="23">
        <f>(+F81-G81)/G81</f>
        <v>5.6757293113713039E-2</v>
      </c>
      <c r="I81" s="24">
        <f>K81/C81</f>
        <v>59.665630729021316</v>
      </c>
      <c r="J81" s="24">
        <f>K81/F81</f>
        <v>112.85487938078924</v>
      </c>
      <c r="K81" s="21">
        <v>22235232.609999999</v>
      </c>
      <c r="L81" s="21">
        <v>22397002.989999998</v>
      </c>
      <c r="M81" s="25">
        <f>(+K81-L81)/L81</f>
        <v>-7.2228583472631388E-3</v>
      </c>
      <c r="N81" s="10"/>
      <c r="R81" s="2"/>
    </row>
    <row r="82" spans="1:18" ht="15.75" customHeight="1" x14ac:dyDescent="0.25">
      <c r="A82" s="19"/>
      <c r="B82" s="20">
        <f>DATE(2023,8,1)</f>
        <v>45139</v>
      </c>
      <c r="C82" s="21">
        <v>342645</v>
      </c>
      <c r="D82" s="21">
        <v>332390</v>
      </c>
      <c r="E82" s="23">
        <f>(+C82-D82)/D82</f>
        <v>3.0852312043081923E-2</v>
      </c>
      <c r="F82" s="21">
        <f>+C82-159996</f>
        <v>182649</v>
      </c>
      <c r="G82" s="21">
        <f>+D82-159690</f>
        <v>172700</v>
      </c>
      <c r="H82" s="23">
        <f>(+F82-G82)/G82</f>
        <v>5.7608569774174868E-2</v>
      </c>
      <c r="I82" s="24">
        <f>K82/C82</f>
        <v>60.158932422769915</v>
      </c>
      <c r="J82" s="24">
        <f>K82/F82</f>
        <v>112.85666715941504</v>
      </c>
      <c r="K82" s="21">
        <v>20613157.399999999</v>
      </c>
      <c r="L82" s="21">
        <v>20719744.75</v>
      </c>
      <c r="M82" s="25">
        <f>(+K82-L82)/L82</f>
        <v>-5.1442404955303073E-3</v>
      </c>
      <c r="N82" s="10"/>
      <c r="R82" s="2"/>
    </row>
    <row r="83" spans="1:18" ht="15.75" customHeight="1" x14ac:dyDescent="0.25">
      <c r="A83" s="19"/>
      <c r="B83" s="20">
        <f>DATE(2023,9,1)</f>
        <v>45170</v>
      </c>
      <c r="C83" s="21">
        <v>340628</v>
      </c>
      <c r="D83" s="21">
        <v>333101</v>
      </c>
      <c r="E83" s="23">
        <f>(+C83-D83)/D83</f>
        <v>2.259674993470449E-2</v>
      </c>
      <c r="F83" s="21">
        <f>+C83-161145</f>
        <v>179483</v>
      </c>
      <c r="G83" s="21">
        <f>+D83-160339</f>
        <v>172762</v>
      </c>
      <c r="H83" s="23">
        <f>(+F83-G83)/G83</f>
        <v>3.8903231034602519E-2</v>
      </c>
      <c r="I83" s="24">
        <f>K83/C83</f>
        <v>63.235720052373857</v>
      </c>
      <c r="J83" s="24">
        <f>K83/F83</f>
        <v>120.01056841037871</v>
      </c>
      <c r="K83" s="21">
        <v>21539856.850000001</v>
      </c>
      <c r="L83" s="21">
        <v>20315248.210000001</v>
      </c>
      <c r="M83" s="25">
        <f>(+K83-L83)/L83</f>
        <v>6.0280269644807878E-2</v>
      </c>
      <c r="N83" s="10"/>
      <c r="R83" s="2"/>
    </row>
    <row r="84" spans="1:18" ht="15.75" customHeight="1" x14ac:dyDescent="0.25">
      <c r="A84" s="19"/>
      <c r="B84" s="20">
        <f>DATE(2023,10,1)</f>
        <v>45200</v>
      </c>
      <c r="C84" s="21">
        <v>330139</v>
      </c>
      <c r="D84" s="21">
        <v>337264</v>
      </c>
      <c r="E84" s="23">
        <f>(+C84-D84)/D84</f>
        <v>-2.112588358081503E-2</v>
      </c>
      <c r="F84" s="21">
        <f>+C84-156537</f>
        <v>173602</v>
      </c>
      <c r="G84" s="21">
        <f>+D84-160233</f>
        <v>177031</v>
      </c>
      <c r="H84" s="23">
        <f>(+F84-G84)/G84</f>
        <v>-1.9369488959560754E-2</v>
      </c>
      <c r="I84" s="24">
        <f>K84/C84</f>
        <v>59.942429400949294</v>
      </c>
      <c r="J84" s="24">
        <f>K84/F84</f>
        <v>113.99254444073225</v>
      </c>
      <c r="K84" s="21">
        <v>19789333.699999999</v>
      </c>
      <c r="L84" s="21">
        <v>21004131.789999999</v>
      </c>
      <c r="M84" s="25">
        <f>(+K84-L84)/L84</f>
        <v>-5.7836148722812786E-2</v>
      </c>
      <c r="N84" s="10"/>
      <c r="R84" s="2"/>
    </row>
    <row r="85" spans="1:18" ht="15.75" customHeight="1" x14ac:dyDescent="0.25">
      <c r="A85" s="19"/>
      <c r="B85" s="20">
        <f>DATE(2023,11,1)</f>
        <v>45231</v>
      </c>
      <c r="C85" s="21">
        <v>337822</v>
      </c>
      <c r="D85" s="21">
        <v>335976</v>
      </c>
      <c r="E85" s="23">
        <f>(+C85-D85)/D85</f>
        <v>5.4944400790532654E-3</v>
      </c>
      <c r="F85" s="21">
        <f>+C85-164575</f>
        <v>173247</v>
      </c>
      <c r="G85" s="21">
        <f>+D85-165580</f>
        <v>170396</v>
      </c>
      <c r="H85" s="23">
        <f>(+F85-G85)/G85</f>
        <v>1.6731613418155357E-2</v>
      </c>
      <c r="I85" s="24">
        <f>K85/C85</f>
        <v>59.797168568062467</v>
      </c>
      <c r="J85" s="24">
        <f>K85/F85</f>
        <v>116.60114795638596</v>
      </c>
      <c r="K85" s="21">
        <v>20200799.079999998</v>
      </c>
      <c r="L85" s="21">
        <v>20877358.670000002</v>
      </c>
      <c r="M85" s="25">
        <f>(+K85-L85)/L85</f>
        <v>-3.2406378636977429E-2</v>
      </c>
      <c r="N85" s="10"/>
      <c r="R85" s="2"/>
    </row>
    <row r="86" spans="1:18" ht="15.75" customHeight="1" thickBot="1" x14ac:dyDescent="0.3">
      <c r="A86" s="19"/>
      <c r="B86" s="45"/>
      <c r="C86" s="21"/>
      <c r="D86" s="21"/>
      <c r="E86" s="23"/>
      <c r="F86" s="21"/>
      <c r="G86" s="21"/>
      <c r="H86" s="23"/>
      <c r="I86" s="24"/>
      <c r="J86" s="24"/>
      <c r="K86" s="21"/>
      <c r="L86" s="21"/>
      <c r="M86" s="25"/>
      <c r="N86" s="10"/>
      <c r="R86" s="2"/>
    </row>
    <row r="87" spans="1:18" ht="17.25" thickTop="1" thickBot="1" x14ac:dyDescent="0.3">
      <c r="A87" s="39" t="s">
        <v>14</v>
      </c>
      <c r="B87" s="40"/>
      <c r="C87" s="41">
        <f>SUM(C81:C86)</f>
        <v>1723898</v>
      </c>
      <c r="D87" s="41">
        <f>SUM(D81:D86)</f>
        <v>1697637</v>
      </c>
      <c r="E87" s="280">
        <f>(+C87-D87)/D87</f>
        <v>1.5469149176178417E-2</v>
      </c>
      <c r="F87" s="41">
        <f>SUM(F81:F86)</f>
        <v>906006</v>
      </c>
      <c r="G87" s="41">
        <f>SUM(G81:G86)</f>
        <v>879332</v>
      </c>
      <c r="H87" s="42">
        <f>(+F87-G87)/G87</f>
        <v>3.0334390196194383E-2</v>
      </c>
      <c r="I87" s="43">
        <f>K87/C87</f>
        <v>60.547886035020632</v>
      </c>
      <c r="J87" s="43">
        <f>K87/F87</f>
        <v>115.20716158612636</v>
      </c>
      <c r="K87" s="41">
        <f>SUM(K81:K86)</f>
        <v>104378379.64</v>
      </c>
      <c r="L87" s="41">
        <f>SUM(L81:L86)</f>
        <v>105313486.41</v>
      </c>
      <c r="M87" s="44">
        <f>(+K87-L87)/L87</f>
        <v>-8.8792689509821707E-3</v>
      </c>
      <c r="N87" s="10"/>
      <c r="R87" s="2"/>
    </row>
    <row r="88" spans="1:18" ht="15.75" customHeight="1" thickTop="1" x14ac:dyDescent="0.2">
      <c r="A88" s="58"/>
      <c r="B88" s="59"/>
      <c r="C88" s="59"/>
      <c r="D88" s="59"/>
      <c r="E88" s="60"/>
      <c r="F88" s="59"/>
      <c r="G88" s="59"/>
      <c r="H88" s="60"/>
      <c r="I88" s="59"/>
      <c r="J88" s="59"/>
      <c r="K88" s="197"/>
      <c r="L88" s="197"/>
      <c r="M88" s="61"/>
      <c r="N88" s="10"/>
      <c r="R88" s="2"/>
    </row>
    <row r="89" spans="1:18" ht="15" customHeight="1" x14ac:dyDescent="0.25">
      <c r="A89" s="19" t="s">
        <v>54</v>
      </c>
      <c r="B89" s="20">
        <f>DATE(2023,7,1)</f>
        <v>45108</v>
      </c>
      <c r="C89" s="21">
        <v>43122</v>
      </c>
      <c r="D89" s="21">
        <v>45743</v>
      </c>
      <c r="E89" s="23">
        <f>(+C89-D89)/D89</f>
        <v>-5.729838445226592E-2</v>
      </c>
      <c r="F89" s="21">
        <f>+C89-21874</f>
        <v>21248</v>
      </c>
      <c r="G89" s="21">
        <f>+D89-23748</f>
        <v>21995</v>
      </c>
      <c r="H89" s="23">
        <f>(+F89-G89)/G89</f>
        <v>-3.3962264150943396E-2</v>
      </c>
      <c r="I89" s="24">
        <f>K89/C89</f>
        <v>73.706668985668571</v>
      </c>
      <c r="J89" s="24">
        <f>K89/F89</f>
        <v>149.58485410391566</v>
      </c>
      <c r="K89" s="21">
        <v>3178378.98</v>
      </c>
      <c r="L89" s="21">
        <v>3253812.68</v>
      </c>
      <c r="M89" s="25">
        <f>(+K89-L89)/L89</f>
        <v>-2.3183172302346608E-2</v>
      </c>
      <c r="N89" s="10"/>
      <c r="R89" s="2"/>
    </row>
    <row r="90" spans="1:18" ht="15" customHeight="1" x14ac:dyDescent="0.25">
      <c r="A90" s="19"/>
      <c r="B90" s="20">
        <f>DATE(2023,8,1)</f>
        <v>45139</v>
      </c>
      <c r="C90" s="21">
        <v>38794</v>
      </c>
      <c r="D90" s="21">
        <v>40978</v>
      </c>
      <c r="E90" s="23">
        <f>(+C90-D90)/D90</f>
        <v>-5.329689101469081E-2</v>
      </c>
      <c r="F90" s="21">
        <f>+C90-19691</f>
        <v>19103</v>
      </c>
      <c r="G90" s="21">
        <f>+D90-21136</f>
        <v>19842</v>
      </c>
      <c r="H90" s="23">
        <f>(+F90-G90)/G90</f>
        <v>-3.7244229412357624E-2</v>
      </c>
      <c r="I90" s="24">
        <f>K90/C90</f>
        <v>74.058326803113886</v>
      </c>
      <c r="J90" s="24">
        <f>K90/F90</f>
        <v>150.39620635502277</v>
      </c>
      <c r="K90" s="21">
        <v>2873018.73</v>
      </c>
      <c r="L90" s="21">
        <v>2953942.06</v>
      </c>
      <c r="M90" s="25">
        <f>(+K90-L90)/L90</f>
        <v>-2.7395029542319482E-2</v>
      </c>
      <c r="N90" s="10"/>
      <c r="R90" s="2"/>
    </row>
    <row r="91" spans="1:18" ht="15" customHeight="1" x14ac:dyDescent="0.25">
      <c r="A91" s="19"/>
      <c r="B91" s="20">
        <f>DATE(2023,9,1)</f>
        <v>45170</v>
      </c>
      <c r="C91" s="21">
        <v>39024</v>
      </c>
      <c r="D91" s="21">
        <v>41696</v>
      </c>
      <c r="E91" s="23">
        <f>(+C91-D91)/D91</f>
        <v>-6.4082885648503451E-2</v>
      </c>
      <c r="F91" s="21">
        <f>+C91-19292</f>
        <v>19732</v>
      </c>
      <c r="G91" s="21">
        <f>+D91-21639</f>
        <v>20057</v>
      </c>
      <c r="H91" s="23">
        <f>(+F91-G91)/G91</f>
        <v>-1.6203819115520764E-2</v>
      </c>
      <c r="I91" s="24">
        <f>K91/C91</f>
        <v>73.702168152931534</v>
      </c>
      <c r="J91" s="24">
        <f>K91/F91</f>
        <v>145.76086610581797</v>
      </c>
      <c r="K91" s="21">
        <v>2876153.41</v>
      </c>
      <c r="L91" s="21">
        <v>3101049.85</v>
      </c>
      <c r="M91" s="25">
        <f>(+K91-L91)/L91</f>
        <v>-7.2522678085939166E-2</v>
      </c>
      <c r="N91" s="10"/>
      <c r="R91" s="2"/>
    </row>
    <row r="92" spans="1:18" ht="15" customHeight="1" x14ac:dyDescent="0.25">
      <c r="A92" s="19"/>
      <c r="B92" s="20">
        <f>DATE(2023,10,1)</f>
        <v>45200</v>
      </c>
      <c r="C92" s="21">
        <v>39576</v>
      </c>
      <c r="D92" s="21">
        <v>40713</v>
      </c>
      <c r="E92" s="23">
        <f>(+C92-D92)/D92</f>
        <v>-2.7927197700980032E-2</v>
      </c>
      <c r="F92" s="21">
        <f>+C92-20256</f>
        <v>19320</v>
      </c>
      <c r="G92" s="21">
        <f>+D92-21150</f>
        <v>19563</v>
      </c>
      <c r="H92" s="23">
        <f>(+F92-G92)/G92</f>
        <v>-1.2421407759546081E-2</v>
      </c>
      <c r="I92" s="24">
        <f>K92/C92</f>
        <v>78.079089094400643</v>
      </c>
      <c r="J92" s="24">
        <f>K92/F92</f>
        <v>159.94089182194617</v>
      </c>
      <c r="K92" s="21">
        <v>3090058.03</v>
      </c>
      <c r="L92" s="21">
        <v>3050192.47</v>
      </c>
      <c r="M92" s="25">
        <f>(+K92-L92)/L92</f>
        <v>1.306985063798272E-2</v>
      </c>
      <c r="N92" s="10"/>
      <c r="R92" s="2"/>
    </row>
    <row r="93" spans="1:18" ht="15" customHeight="1" x14ac:dyDescent="0.25">
      <c r="A93" s="19"/>
      <c r="B93" s="20">
        <f>DATE(2023,11,1)</f>
        <v>45231</v>
      </c>
      <c r="C93" s="21">
        <v>38920</v>
      </c>
      <c r="D93" s="21">
        <v>37233</v>
      </c>
      <c r="E93" s="23">
        <f>(+C93-D93)/D93</f>
        <v>4.5309268659522464E-2</v>
      </c>
      <c r="F93" s="21">
        <f>+C93-20391</f>
        <v>18529</v>
      </c>
      <c r="G93" s="21">
        <f>+D93-19170</f>
        <v>18063</v>
      </c>
      <c r="H93" s="23">
        <f>(+F93-G93)/G93</f>
        <v>2.5798593810551957E-2</v>
      </c>
      <c r="I93" s="24">
        <f>K93/C93</f>
        <v>70.912000000000006</v>
      </c>
      <c r="J93" s="24">
        <f>K93/F93</f>
        <v>148.95002644503211</v>
      </c>
      <c r="K93" s="21">
        <v>2759895.04</v>
      </c>
      <c r="L93" s="21">
        <v>2799014.1</v>
      </c>
      <c r="M93" s="25">
        <f>(+K93-L93)/L93</f>
        <v>-1.3976013911469775E-2</v>
      </c>
      <c r="N93" s="10"/>
      <c r="R93" s="2"/>
    </row>
    <row r="94" spans="1:18" ht="15.75" thickBot="1" x14ac:dyDescent="0.25">
      <c r="A94" s="38"/>
      <c r="B94" s="20"/>
      <c r="C94" s="21"/>
      <c r="D94" s="21"/>
      <c r="E94" s="23"/>
      <c r="F94" s="21"/>
      <c r="G94" s="21"/>
      <c r="H94" s="23"/>
      <c r="I94" s="24"/>
      <c r="J94" s="24"/>
      <c r="K94" s="21"/>
      <c r="L94" s="21"/>
      <c r="M94" s="25"/>
      <c r="N94" s="10"/>
      <c r="R94" s="2"/>
    </row>
    <row r="95" spans="1:18" ht="17.25" thickTop="1" thickBot="1" x14ac:dyDescent="0.3">
      <c r="A95" s="62" t="s">
        <v>14</v>
      </c>
      <c r="B95" s="52"/>
      <c r="C95" s="48">
        <f>SUM(C89:C94)</f>
        <v>199436</v>
      </c>
      <c r="D95" s="48">
        <f>SUM(D89:D94)</f>
        <v>206363</v>
      </c>
      <c r="E95" s="280">
        <f>(+C95-D95)/D95</f>
        <v>-3.3567063863192532E-2</v>
      </c>
      <c r="F95" s="48">
        <f>SUM(F89:F94)</f>
        <v>97932</v>
      </c>
      <c r="G95" s="48">
        <f>SUM(G89:G94)</f>
        <v>99520</v>
      </c>
      <c r="H95" s="42">
        <f>(+F95-G95)/G95</f>
        <v>-1.5956591639871384E-2</v>
      </c>
      <c r="I95" s="50">
        <f>K95/C95</f>
        <v>74.096473003870926</v>
      </c>
      <c r="J95" s="50">
        <f>K95/F95</f>
        <v>150.89556212473963</v>
      </c>
      <c r="K95" s="48">
        <f>SUM(K89:K94)</f>
        <v>14777504.190000001</v>
      </c>
      <c r="L95" s="48">
        <f>SUM(L89:L94)</f>
        <v>15158011.16</v>
      </c>
      <c r="M95" s="44">
        <f>(+K95-L95)/L95</f>
        <v>-2.5102697575794555E-2</v>
      </c>
      <c r="N95" s="10"/>
      <c r="R95" s="2"/>
    </row>
    <row r="96" spans="1:18" ht="15.75" customHeight="1" thickTop="1" x14ac:dyDescent="0.25">
      <c r="A96" s="19"/>
      <c r="B96" s="45"/>
      <c r="C96" s="21"/>
      <c r="D96" s="21"/>
      <c r="E96" s="23"/>
      <c r="F96" s="21"/>
      <c r="G96" s="21"/>
      <c r="H96" s="23"/>
      <c r="I96" s="24"/>
      <c r="J96" s="24"/>
      <c r="K96" s="21"/>
      <c r="L96" s="21"/>
      <c r="M96" s="25"/>
      <c r="N96" s="10"/>
      <c r="R96" s="2"/>
    </row>
    <row r="97" spans="1:18" ht="15.75" x14ac:dyDescent="0.25">
      <c r="A97" s="19" t="s">
        <v>17</v>
      </c>
      <c r="B97" s="20">
        <f>DATE(2023,7,1)</f>
        <v>45108</v>
      </c>
      <c r="C97" s="21">
        <v>341358</v>
      </c>
      <c r="D97" s="21">
        <v>376535</v>
      </c>
      <c r="E97" s="23">
        <f>(+C97-D97)/D97</f>
        <v>-9.3422922171909645E-2</v>
      </c>
      <c r="F97" s="21">
        <f>+C97-174275</f>
        <v>167083</v>
      </c>
      <c r="G97" s="21">
        <f>+D97-192471</f>
        <v>184064</v>
      </c>
      <c r="H97" s="23">
        <f>(+F97-G97)/G97</f>
        <v>-9.2255954450625871E-2</v>
      </c>
      <c r="I97" s="24">
        <f>K97/C97</f>
        <v>75.201336397565015</v>
      </c>
      <c r="J97" s="24">
        <f>K97/F97</f>
        <v>153.63967483226898</v>
      </c>
      <c r="K97" s="21">
        <v>25670577.789999999</v>
      </c>
      <c r="L97" s="21">
        <v>26699268.829999998</v>
      </c>
      <c r="M97" s="25">
        <f>(+K97-L97)/L97</f>
        <v>-3.8528809404852871E-2</v>
      </c>
      <c r="N97" s="10"/>
      <c r="R97" s="2"/>
    </row>
    <row r="98" spans="1:18" ht="15.75" x14ac:dyDescent="0.25">
      <c r="A98" s="19"/>
      <c r="B98" s="20">
        <f>DATE(2023,8,1)</f>
        <v>45139</v>
      </c>
      <c r="C98" s="21">
        <v>326253</v>
      </c>
      <c r="D98" s="21">
        <v>348725</v>
      </c>
      <c r="E98" s="23">
        <f>(+C98-D98)/D98</f>
        <v>-6.4440461681840991E-2</v>
      </c>
      <c r="F98" s="21">
        <f>+C98-166627</f>
        <v>159626</v>
      </c>
      <c r="G98" s="21">
        <f>+D98-177430</f>
        <v>171295</v>
      </c>
      <c r="H98" s="23">
        <f>(+F98-G98)/G98</f>
        <v>-6.8122245249423508E-2</v>
      </c>
      <c r="I98" s="24">
        <f>K98/C98</f>
        <v>71.558283510036688</v>
      </c>
      <c r="J98" s="24">
        <f>K98/F98</f>
        <v>146.25502530916017</v>
      </c>
      <c r="K98" s="21">
        <v>23346104.670000002</v>
      </c>
      <c r="L98" s="21">
        <v>26620249.559999999</v>
      </c>
      <c r="M98" s="25">
        <f>(+K98-L98)/L98</f>
        <v>-0.12299452274556351</v>
      </c>
      <c r="N98" s="10"/>
      <c r="R98" s="2"/>
    </row>
    <row r="99" spans="1:18" ht="15.75" x14ac:dyDescent="0.25">
      <c r="A99" s="19"/>
      <c r="B99" s="20">
        <f>DATE(2023,9,1)</f>
        <v>45170</v>
      </c>
      <c r="C99" s="21">
        <v>330805</v>
      </c>
      <c r="D99" s="21">
        <v>351773</v>
      </c>
      <c r="E99" s="23">
        <f>(+C99-D99)/D99</f>
        <v>-5.9606621315450588E-2</v>
      </c>
      <c r="F99" s="21">
        <f>+C99-169998</f>
        <v>160807</v>
      </c>
      <c r="G99" s="21">
        <f>+D99-180127</f>
        <v>171646</v>
      </c>
      <c r="H99" s="23">
        <f>(+F99-G99)/G99</f>
        <v>-6.3147408037472472E-2</v>
      </c>
      <c r="I99" s="24">
        <f>K99/C99</f>
        <v>74.375674521243639</v>
      </c>
      <c r="J99" s="24">
        <f>K99/F99</f>
        <v>153.00232583158694</v>
      </c>
      <c r="K99" s="21">
        <v>24603845.010000002</v>
      </c>
      <c r="L99" s="21">
        <v>24480724.719999999</v>
      </c>
      <c r="M99" s="25">
        <f>(+K99-L99)/L99</f>
        <v>5.0292747215697148E-3</v>
      </c>
      <c r="N99" s="10"/>
      <c r="R99" s="2"/>
    </row>
    <row r="100" spans="1:18" ht="15.75" x14ac:dyDescent="0.25">
      <c r="A100" s="19"/>
      <c r="B100" s="20">
        <f>DATE(2023,10,1)</f>
        <v>45200</v>
      </c>
      <c r="C100" s="21">
        <v>304204</v>
      </c>
      <c r="D100" s="21">
        <v>353411</v>
      </c>
      <c r="E100" s="23">
        <f>(+C100-D100)/D100</f>
        <v>-0.13923448902269595</v>
      </c>
      <c r="F100" s="21">
        <f>+C100-155651</f>
        <v>148553</v>
      </c>
      <c r="G100" s="21">
        <f>+D100-182814</f>
        <v>170597</v>
      </c>
      <c r="H100" s="23">
        <f>(+F100-G100)/G100</f>
        <v>-0.12921680920532014</v>
      </c>
      <c r="I100" s="24">
        <f>K100/C100</f>
        <v>77.748252258352935</v>
      </c>
      <c r="J100" s="24">
        <f>K100/F100</f>
        <v>159.2113880567878</v>
      </c>
      <c r="K100" s="21">
        <v>23651329.329999998</v>
      </c>
      <c r="L100" s="21">
        <v>24469878.329999998</v>
      </c>
      <c r="M100" s="25">
        <f>(+K100-L100)/L100</f>
        <v>-3.3451290151960474E-2</v>
      </c>
      <c r="N100" s="10"/>
      <c r="R100" s="2"/>
    </row>
    <row r="101" spans="1:18" ht="15.75" x14ac:dyDescent="0.25">
      <c r="A101" s="19"/>
      <c r="B101" s="20">
        <f>DATE(2023,11,1)</f>
        <v>45231</v>
      </c>
      <c r="C101" s="21">
        <v>307303</v>
      </c>
      <c r="D101" s="21">
        <v>324947</v>
      </c>
      <c r="E101" s="23">
        <f>(+C101-D101)/D101</f>
        <v>-5.429808553394861E-2</v>
      </c>
      <c r="F101" s="21">
        <f>+C101-157952</f>
        <v>149351</v>
      </c>
      <c r="G101" s="21">
        <f>+D101-166237</f>
        <v>158710</v>
      </c>
      <c r="H101" s="23">
        <f>(+F101-G101)/G101</f>
        <v>-5.8969189087014054E-2</v>
      </c>
      <c r="I101" s="24">
        <f>K101/C101</f>
        <v>71.832083871618565</v>
      </c>
      <c r="J101" s="24">
        <f>K101/F101</f>
        <v>147.80091777088873</v>
      </c>
      <c r="K101" s="21">
        <v>22074214.870000001</v>
      </c>
      <c r="L101" s="21">
        <v>24161266.16</v>
      </c>
      <c r="M101" s="25">
        <f>(+K101-L101)/L101</f>
        <v>-8.6380046317903691E-2</v>
      </c>
      <c r="N101" s="10"/>
      <c r="R101" s="2"/>
    </row>
    <row r="102" spans="1:18" ht="15.75" thickBot="1" x14ac:dyDescent="0.25">
      <c r="A102" s="38"/>
      <c r="B102" s="45"/>
      <c r="C102" s="21"/>
      <c r="D102" s="21"/>
      <c r="E102" s="23"/>
      <c r="F102" s="21"/>
      <c r="G102" s="21"/>
      <c r="H102" s="23"/>
      <c r="I102" s="24"/>
      <c r="J102" s="24"/>
      <c r="K102" s="21"/>
      <c r="L102" s="21"/>
      <c r="M102" s="25"/>
      <c r="N102" s="10"/>
      <c r="R102" s="2"/>
    </row>
    <row r="103" spans="1:18" ht="17.25" thickTop="1" thickBot="1" x14ac:dyDescent="0.3">
      <c r="A103" s="39" t="s">
        <v>14</v>
      </c>
      <c r="B103" s="40"/>
      <c r="C103" s="41">
        <f>SUM(C97:C102)</f>
        <v>1609923</v>
      </c>
      <c r="D103" s="41">
        <f>SUM(D97:D102)</f>
        <v>1755391</v>
      </c>
      <c r="E103" s="280">
        <f>(+C103-D103)/D103</f>
        <v>-8.2869286671744355E-2</v>
      </c>
      <c r="F103" s="41">
        <f>SUM(F97:F102)</f>
        <v>785420</v>
      </c>
      <c r="G103" s="41">
        <f>SUM(G97:G102)</f>
        <v>856312</v>
      </c>
      <c r="H103" s="42">
        <f>(+F103-G103)/G103</f>
        <v>-8.2787582096245288E-2</v>
      </c>
      <c r="I103" s="43">
        <f>K103/C103</f>
        <v>74.131540247577064</v>
      </c>
      <c r="J103" s="43">
        <f>K103/F103</f>
        <v>151.95191320567341</v>
      </c>
      <c r="K103" s="41">
        <f>SUM(K97:K102)</f>
        <v>119346071.67</v>
      </c>
      <c r="L103" s="41">
        <f>SUM(L97:L102)</f>
        <v>126431387.59999999</v>
      </c>
      <c r="M103" s="44">
        <f>(+K103-L103)/L103</f>
        <v>-5.6040798606247305E-2</v>
      </c>
      <c r="N103" s="10"/>
      <c r="R103" s="2"/>
    </row>
    <row r="104" spans="1:18" ht="15.75" customHeight="1" thickTop="1" x14ac:dyDescent="0.25">
      <c r="A104" s="19"/>
      <c r="B104" s="45"/>
      <c r="C104" s="21"/>
      <c r="D104" s="21"/>
      <c r="E104" s="23"/>
      <c r="F104" s="21"/>
      <c r="G104" s="21"/>
      <c r="H104" s="23"/>
      <c r="I104" s="24"/>
      <c r="J104" s="24"/>
      <c r="K104" s="21"/>
      <c r="L104" s="21"/>
      <c r="M104" s="25"/>
      <c r="N104" s="10"/>
      <c r="R104" s="2"/>
    </row>
    <row r="105" spans="1:18" ht="15.75" x14ac:dyDescent="0.25">
      <c r="A105" s="19" t="s">
        <v>56</v>
      </c>
      <c r="B105" s="20">
        <f>DATE(2023,7,1)</f>
        <v>45108</v>
      </c>
      <c r="C105" s="21">
        <v>66323</v>
      </c>
      <c r="D105" s="21">
        <v>68778</v>
      </c>
      <c r="E105" s="23">
        <f>(+C105-D105)/D105</f>
        <v>-3.5694553490941874E-2</v>
      </c>
      <c r="F105" s="21">
        <f>+C105-28441</f>
        <v>37882</v>
      </c>
      <c r="G105" s="21">
        <f>+D105-29763</f>
        <v>39015</v>
      </c>
      <c r="H105" s="23">
        <f>(+F105-G105)/G105</f>
        <v>-2.9040112777136997E-2</v>
      </c>
      <c r="I105" s="24">
        <f>K105/C105</f>
        <v>58.975659575109688</v>
      </c>
      <c r="J105" s="24">
        <f>K105/F105</f>
        <v>103.25333060556464</v>
      </c>
      <c r="K105" s="21">
        <v>3911442.67</v>
      </c>
      <c r="L105" s="21">
        <v>4137931.7</v>
      </c>
      <c r="M105" s="25">
        <f>(+K105-L105)/L105</f>
        <v>-5.4734840113479941E-2</v>
      </c>
      <c r="N105" s="10"/>
      <c r="R105" s="2"/>
    </row>
    <row r="106" spans="1:18" ht="15.75" x14ac:dyDescent="0.25">
      <c r="A106" s="19"/>
      <c r="B106" s="20">
        <f>DATE(2023,8,1)</f>
        <v>45139</v>
      </c>
      <c r="C106" s="21">
        <v>63894</v>
      </c>
      <c r="D106" s="21">
        <v>61732</v>
      </c>
      <c r="E106" s="23">
        <f>(+C106-D106)/D106</f>
        <v>3.5022354694485842E-2</v>
      </c>
      <c r="F106" s="21">
        <f>+C106-27335</f>
        <v>36559</v>
      </c>
      <c r="G106" s="21">
        <f>+D106-26815</f>
        <v>34917</v>
      </c>
      <c r="H106" s="23">
        <f>(+F106-G106)/G106</f>
        <v>4.7025804049603347E-2</v>
      </c>
      <c r="I106" s="24">
        <f>K106/C106</f>
        <v>60.44767067330266</v>
      </c>
      <c r="J106" s="24">
        <f>K106/F106</f>
        <v>105.64412237752674</v>
      </c>
      <c r="K106" s="21">
        <v>3862243.47</v>
      </c>
      <c r="L106" s="21">
        <v>3659627.99</v>
      </c>
      <c r="M106" s="25">
        <f>(+K106-L106)/L106</f>
        <v>5.5365048183490355E-2</v>
      </c>
      <c r="N106" s="10"/>
      <c r="R106" s="2"/>
    </row>
    <row r="107" spans="1:18" ht="15.75" x14ac:dyDescent="0.25">
      <c r="A107" s="19"/>
      <c r="B107" s="20">
        <f>DATE(2023,9,1)</f>
        <v>45170</v>
      </c>
      <c r="C107" s="21">
        <v>61378</v>
      </c>
      <c r="D107" s="21">
        <v>62788</v>
      </c>
      <c r="E107" s="23">
        <f>(+C107-D107)/D107</f>
        <v>-2.245652035420781E-2</v>
      </c>
      <c r="F107" s="21">
        <f>+C107-26751</f>
        <v>34627</v>
      </c>
      <c r="G107" s="21">
        <f>+D107-27365</f>
        <v>35423</v>
      </c>
      <c r="H107" s="23">
        <f>(+F107-G107)/G107</f>
        <v>-2.2471275724811564E-2</v>
      </c>
      <c r="I107" s="24">
        <f>K107/C107</f>
        <v>60.955323568705403</v>
      </c>
      <c r="J107" s="24">
        <f>K107/F107</f>
        <v>108.04620238542178</v>
      </c>
      <c r="K107" s="21">
        <v>3741315.85</v>
      </c>
      <c r="L107" s="21">
        <v>3960660.61</v>
      </c>
      <c r="M107" s="25">
        <f>(+K107-L107)/L107</f>
        <v>-5.5380852236162639E-2</v>
      </c>
      <c r="N107" s="10"/>
      <c r="R107" s="2"/>
    </row>
    <row r="108" spans="1:18" ht="15.75" x14ac:dyDescent="0.25">
      <c r="A108" s="19"/>
      <c r="B108" s="20">
        <f>DATE(2023,10,1)</f>
        <v>45200</v>
      </c>
      <c r="C108" s="21">
        <v>57497</v>
      </c>
      <c r="D108" s="21">
        <v>62422</v>
      </c>
      <c r="E108" s="23">
        <f>(+C108-D108)/D108</f>
        <v>-7.889846528467527E-2</v>
      </c>
      <c r="F108" s="21">
        <f>+C108-24805</f>
        <v>32692</v>
      </c>
      <c r="G108" s="21">
        <f>+D108-27630</f>
        <v>34792</v>
      </c>
      <c r="H108" s="23">
        <f>(+F108-G108)/G108</f>
        <v>-6.0358703150149462E-2</v>
      </c>
      <c r="I108" s="24">
        <f>K108/C108</f>
        <v>61.609674591717827</v>
      </c>
      <c r="J108" s="24">
        <f>K108/F108</f>
        <v>108.35591153799095</v>
      </c>
      <c r="K108" s="21">
        <v>3542371.46</v>
      </c>
      <c r="L108" s="21">
        <v>3840534.87</v>
      </c>
      <c r="M108" s="25">
        <f>(+K108-L108)/L108</f>
        <v>-7.7635907521391712E-2</v>
      </c>
      <c r="N108" s="10"/>
      <c r="R108" s="2"/>
    </row>
    <row r="109" spans="1:18" ht="15.75" x14ac:dyDescent="0.25">
      <c r="A109" s="19"/>
      <c r="B109" s="20">
        <f>DATE(2023,11,1)</f>
        <v>45231</v>
      </c>
      <c r="C109" s="21">
        <v>57953</v>
      </c>
      <c r="D109" s="21">
        <v>58006</v>
      </c>
      <c r="E109" s="23">
        <f>(+C109-D109)/D109</f>
        <v>-9.1369858290521672E-4</v>
      </c>
      <c r="F109" s="21">
        <f>+C109-25146</f>
        <v>32807</v>
      </c>
      <c r="G109" s="21">
        <f>+D109-26107</f>
        <v>31899</v>
      </c>
      <c r="H109" s="23">
        <f>(+F109-G109)/G109</f>
        <v>2.8464842158061381E-2</v>
      </c>
      <c r="I109" s="24">
        <f>K109/C109</f>
        <v>62.883518023225719</v>
      </c>
      <c r="J109" s="24">
        <f>K109/F109</f>
        <v>111.08265065382388</v>
      </c>
      <c r="K109" s="21">
        <v>3644288.52</v>
      </c>
      <c r="L109" s="21">
        <v>3573473.44</v>
      </c>
      <c r="M109" s="25">
        <f>(+K109-L109)/L109</f>
        <v>1.9816875986071434E-2</v>
      </c>
      <c r="N109" s="10"/>
      <c r="R109" s="2"/>
    </row>
    <row r="110" spans="1:18" ht="15.75" thickBot="1" x14ac:dyDescent="0.25">
      <c r="A110" s="38"/>
      <c r="B110" s="45"/>
      <c r="C110" s="21"/>
      <c r="D110" s="21"/>
      <c r="E110" s="23"/>
      <c r="F110" s="21"/>
      <c r="G110" s="21"/>
      <c r="H110" s="23"/>
      <c r="I110" s="24"/>
      <c r="J110" s="24"/>
      <c r="K110" s="21"/>
      <c r="L110" s="21"/>
      <c r="M110" s="25"/>
      <c r="N110" s="10"/>
      <c r="R110" s="2"/>
    </row>
    <row r="111" spans="1:18" ht="17.25" thickTop="1" thickBot="1" x14ac:dyDescent="0.3">
      <c r="A111" s="26" t="s">
        <v>14</v>
      </c>
      <c r="B111" s="27"/>
      <c r="C111" s="28">
        <f>SUM(C105:C110)</f>
        <v>307045</v>
      </c>
      <c r="D111" s="28">
        <f>SUM(D105:D110)</f>
        <v>313726</v>
      </c>
      <c r="E111" s="280">
        <f>(+C111-D111)/D111</f>
        <v>-2.1295652894564046E-2</v>
      </c>
      <c r="F111" s="28">
        <f>SUM(F105:F110)</f>
        <v>174567</v>
      </c>
      <c r="G111" s="28">
        <f>SUM(G105:G110)</f>
        <v>176046</v>
      </c>
      <c r="H111" s="42">
        <f>(+F111-G111)/G111</f>
        <v>-8.4012133192461064E-3</v>
      </c>
      <c r="I111" s="43">
        <f>K111/C111</f>
        <v>60.908537738767926</v>
      </c>
      <c r="J111" s="43">
        <f>K111/F111</f>
        <v>107.13171429880791</v>
      </c>
      <c r="K111" s="28">
        <f>SUM(K105:K110)</f>
        <v>18701661.969999999</v>
      </c>
      <c r="L111" s="28">
        <f>SUM(L105:L110)</f>
        <v>19172228.610000003</v>
      </c>
      <c r="M111" s="44">
        <f>(+K111-L111)/L111</f>
        <v>-2.454418052132773E-2</v>
      </c>
      <c r="N111" s="10"/>
      <c r="R111" s="2"/>
    </row>
    <row r="112" spans="1:18" ht="16.5" thickTop="1" thickBot="1" x14ac:dyDescent="0.25">
      <c r="A112" s="63"/>
      <c r="B112" s="34"/>
      <c r="C112" s="35"/>
      <c r="D112" s="35"/>
      <c r="E112" s="29"/>
      <c r="F112" s="35"/>
      <c r="G112" s="35"/>
      <c r="H112" s="29"/>
      <c r="I112" s="36"/>
      <c r="J112" s="36"/>
      <c r="K112" s="35"/>
      <c r="L112" s="35"/>
      <c r="M112" s="37"/>
      <c r="N112" s="10"/>
      <c r="R112" s="2"/>
    </row>
    <row r="113" spans="1:18" ht="17.25" thickTop="1" thickBot="1" x14ac:dyDescent="0.3">
      <c r="A113" s="64" t="s">
        <v>18</v>
      </c>
      <c r="B113" s="65"/>
      <c r="C113" s="28">
        <f>C111+C103+C47+C63+C71+C31+C15+C79+C87+C39+C95+C23+C55</f>
        <v>11858663</v>
      </c>
      <c r="D113" s="28">
        <f>D111+D103+D47+D63+D71+D31+D15+D79+D87+D39+D95+D23+D55</f>
        <v>11983375</v>
      </c>
      <c r="E113" s="279">
        <f>(+C113-D113)/D113</f>
        <v>-1.0407084815421365E-2</v>
      </c>
      <c r="F113" s="28">
        <f>F111+F103+F47+F63+F71+F31+F15+F79+F87+F39+F95+F23+F55</f>
        <v>6114007</v>
      </c>
      <c r="G113" s="28">
        <f>G111+G103+G47+G63+G71+G31+G15+G79+G87+G39+G95+G23+G55</f>
        <v>6129487</v>
      </c>
      <c r="H113" s="30">
        <f>(+F113-G113)/G113</f>
        <v>-2.5254968319534735E-3</v>
      </c>
      <c r="I113" s="31">
        <f>K113/C113</f>
        <v>65.899453562345087</v>
      </c>
      <c r="J113" s="31">
        <f>K113/F113</f>
        <v>127.81787977671598</v>
      </c>
      <c r="K113" s="28">
        <f>K111+K103+K47+K63+K71+K31+K15+K79+K87+K39+K95+K23+K55</f>
        <v>781479411.67999995</v>
      </c>
      <c r="L113" s="28">
        <f>L111+L103+L47+L63+L71+L31+L15+L79+L87+L39+L95+L23+L55</f>
        <v>792361643.34999979</v>
      </c>
      <c r="M113" s="32">
        <f>(+K113-L113)/L113</f>
        <v>-1.3733920314455415E-2</v>
      </c>
      <c r="N113" s="10"/>
      <c r="R113" s="2"/>
    </row>
    <row r="114" spans="1:18" ht="17.25" thickTop="1" thickBot="1" x14ac:dyDescent="0.3">
      <c r="A114" s="64"/>
      <c r="B114" s="65"/>
      <c r="C114" s="28"/>
      <c r="D114" s="28"/>
      <c r="E114" s="29"/>
      <c r="F114" s="28"/>
      <c r="G114" s="28"/>
      <c r="H114" s="30"/>
      <c r="I114" s="31"/>
      <c r="J114" s="31"/>
      <c r="K114" s="28"/>
      <c r="L114" s="28"/>
      <c r="M114" s="32"/>
      <c r="N114" s="10"/>
      <c r="R114" s="2"/>
    </row>
    <row r="115" spans="1:18" ht="17.25" thickTop="1" thickBot="1" x14ac:dyDescent="0.3">
      <c r="A115" s="64" t="s">
        <v>19</v>
      </c>
      <c r="B115" s="65"/>
      <c r="C115" s="28">
        <f>+C13+C21+C29+C37+C45+C53+C61+C69+C77+C85+C93+C101+C109</f>
        <v>2248463</v>
      </c>
      <c r="D115" s="28">
        <f>+D13+D21+D29+D37+D45+D53+D61+D69+D77+D85+D93+D101+D109</f>
        <v>2229322</v>
      </c>
      <c r="E115" s="279">
        <f>(+C115-D115)/D115</f>
        <v>8.5860185294004184E-3</v>
      </c>
      <c r="F115" s="28">
        <f>+F13+F21+F29+F37+F45+F53+F61+F69+F77+F85+F93+F101+F109</f>
        <v>1152549</v>
      </c>
      <c r="G115" s="28">
        <f>+G13+G21+G29+G37+G45+G53+G61+G69+G77+G85+G93+G101+G109</f>
        <v>1136594</v>
      </c>
      <c r="H115" s="30">
        <f>(+F115-G115)/G115</f>
        <v>1.4037554306990887E-2</v>
      </c>
      <c r="I115" s="291">
        <f>K115/C115</f>
        <v>65.650375376423824</v>
      </c>
      <c r="J115" s="31">
        <f>K115/F115</f>
        <v>128.07476295584831</v>
      </c>
      <c r="K115" s="28">
        <f>+K13+K21+K29+K37+K45+K53+K61+K69+K77+K85+K93+K101+K109</f>
        <v>147612439.97000003</v>
      </c>
      <c r="L115" s="28">
        <f>+L13+L21+L29+L37+L45+L53+L61+L69+L77+L85+L93+L101+L109</f>
        <v>149795919.54999998</v>
      </c>
      <c r="M115" s="32">
        <f>(+K115-L115)/L115</f>
        <v>-1.4576362203719011E-2</v>
      </c>
      <c r="N115" s="10"/>
      <c r="R115" s="2"/>
    </row>
    <row r="116" spans="1:18" ht="15.75" thickTop="1" x14ac:dyDescent="0.2">
      <c r="A116" s="66"/>
      <c r="B116" s="67"/>
      <c r="C116" s="68"/>
      <c r="D116" s="67"/>
      <c r="E116" s="67"/>
      <c r="F116" s="67"/>
      <c r="G116" s="67"/>
      <c r="H116" s="67"/>
      <c r="I116" s="67"/>
      <c r="J116" s="67"/>
      <c r="K116" s="68"/>
      <c r="L116" s="68"/>
      <c r="M116" s="67"/>
      <c r="R116" s="2"/>
    </row>
    <row r="117" spans="1:18" ht="18.75" x14ac:dyDescent="0.3">
      <c r="A117" s="264" t="s">
        <v>20</v>
      </c>
      <c r="B117" s="70"/>
      <c r="C117" s="71"/>
      <c r="D117" s="71"/>
      <c r="E117" s="71"/>
      <c r="F117" s="71"/>
      <c r="G117" s="71"/>
      <c r="H117" s="71"/>
      <c r="I117" s="71"/>
      <c r="J117" s="71"/>
      <c r="K117" s="198"/>
      <c r="L117" s="198"/>
      <c r="M117" s="71"/>
      <c r="N117" s="2"/>
      <c r="O117" s="2"/>
      <c r="P117" s="2"/>
      <c r="Q117" s="2"/>
      <c r="R117" s="2"/>
    </row>
    <row r="118" spans="1:18" ht="18" x14ac:dyDescent="0.25">
      <c r="A118" s="69"/>
      <c r="B118" s="70"/>
      <c r="C118" s="71"/>
      <c r="D118" s="71"/>
      <c r="E118" s="71"/>
      <c r="F118" s="71"/>
      <c r="G118" s="71"/>
      <c r="H118" s="71"/>
      <c r="I118" s="71"/>
      <c r="J118" s="71"/>
      <c r="K118" s="198"/>
      <c r="L118" s="198"/>
      <c r="M118" s="71"/>
      <c r="N118" s="2"/>
      <c r="O118" s="2"/>
      <c r="P118" s="2"/>
      <c r="Q118" s="2"/>
      <c r="R118" s="2"/>
    </row>
    <row r="119" spans="1:18" ht="15.75" x14ac:dyDescent="0.25">
      <c r="A119" s="72"/>
      <c r="B119" s="73"/>
      <c r="C119" s="74"/>
      <c r="D119" s="74"/>
      <c r="E119" s="74"/>
      <c r="F119" s="74"/>
      <c r="G119" s="74"/>
      <c r="H119" s="74"/>
      <c r="I119" s="74"/>
      <c r="J119" s="74"/>
      <c r="K119" s="192"/>
      <c r="L119" s="192"/>
      <c r="M119" s="75"/>
      <c r="N119" s="2"/>
      <c r="O119" s="2"/>
      <c r="P119" s="2"/>
      <c r="Q119" s="2"/>
      <c r="R119" s="2"/>
    </row>
    <row r="120" spans="1:18" x14ac:dyDescent="0.2">
      <c r="A120" s="2"/>
      <c r="B120" s="73"/>
      <c r="C120" s="74"/>
      <c r="D120" s="74"/>
      <c r="E120" s="74"/>
      <c r="F120" s="74"/>
      <c r="G120" s="74"/>
      <c r="H120" s="74"/>
      <c r="I120" s="74"/>
      <c r="J120" s="74"/>
      <c r="K120" s="192"/>
      <c r="L120" s="192"/>
      <c r="M120" s="75"/>
      <c r="N120" s="2"/>
      <c r="O120" s="2"/>
      <c r="P120" s="2"/>
      <c r="Q120" s="2"/>
      <c r="R120" s="2"/>
    </row>
    <row r="121" spans="1:18" x14ac:dyDescent="0.2">
      <c r="A121" s="2"/>
      <c r="B121" s="73"/>
      <c r="C121" s="74"/>
      <c r="D121" s="74"/>
      <c r="E121" s="74"/>
      <c r="F121" s="74"/>
      <c r="G121" s="74"/>
      <c r="H121" s="74"/>
      <c r="I121" s="74"/>
      <c r="J121" s="74"/>
      <c r="K121" s="192"/>
      <c r="L121" s="192"/>
      <c r="M121" s="75"/>
      <c r="N121" s="2"/>
      <c r="O121" s="2"/>
      <c r="P121" s="2"/>
      <c r="Q121" s="2"/>
      <c r="R121" s="2"/>
    </row>
    <row r="122" spans="1:18" x14ac:dyDescent="0.2">
      <c r="A122" s="2"/>
      <c r="B122" s="73"/>
      <c r="C122" s="74"/>
      <c r="D122" s="74"/>
      <c r="E122" s="74"/>
      <c r="F122" s="74"/>
      <c r="G122" s="74"/>
      <c r="H122" s="74"/>
      <c r="I122" s="74"/>
      <c r="J122" s="74"/>
      <c r="K122" s="192"/>
      <c r="L122" s="192"/>
      <c r="M122" s="75"/>
      <c r="N122" s="2"/>
      <c r="O122" s="2"/>
      <c r="P122" s="2"/>
      <c r="Q122" s="2"/>
      <c r="R122" s="2"/>
    </row>
    <row r="123" spans="1:18" x14ac:dyDescent="0.2">
      <c r="A123" s="2"/>
      <c r="B123" s="73"/>
      <c r="C123" s="74"/>
      <c r="D123" s="74"/>
      <c r="E123" s="74"/>
      <c r="F123" s="74"/>
      <c r="G123" s="74"/>
      <c r="H123" s="74"/>
      <c r="I123" s="74"/>
      <c r="J123" s="74"/>
      <c r="K123" s="192"/>
      <c r="L123" s="192"/>
      <c r="M123" s="75"/>
      <c r="N123" s="2"/>
      <c r="O123" s="2"/>
      <c r="P123" s="2"/>
      <c r="Q123" s="2"/>
      <c r="R123" s="2"/>
    </row>
    <row r="124" spans="1:18" x14ac:dyDescent="0.2">
      <c r="A124" s="2"/>
      <c r="B124" s="73"/>
      <c r="C124" s="74"/>
      <c r="D124" s="74"/>
      <c r="E124" s="74"/>
      <c r="F124" s="74"/>
      <c r="G124" s="74"/>
      <c r="H124" s="74"/>
      <c r="I124" s="74"/>
      <c r="J124" s="74"/>
      <c r="K124" s="192"/>
      <c r="L124" s="192"/>
      <c r="M124" s="75"/>
      <c r="N124" s="2"/>
      <c r="O124" s="2"/>
      <c r="P124" s="2"/>
      <c r="Q124" s="2"/>
      <c r="R124" s="2"/>
    </row>
    <row r="125" spans="1:18" x14ac:dyDescent="0.2">
      <c r="A125" s="2"/>
      <c r="B125" s="73"/>
      <c r="C125" s="74"/>
      <c r="D125" s="74"/>
      <c r="E125" s="74"/>
      <c r="F125" s="74"/>
      <c r="G125" s="74"/>
      <c r="H125" s="74"/>
      <c r="I125" s="74"/>
      <c r="J125" s="74"/>
      <c r="K125" s="192"/>
      <c r="L125" s="192"/>
      <c r="M125" s="75"/>
      <c r="N125" s="2"/>
      <c r="O125" s="2"/>
      <c r="P125" s="2"/>
      <c r="Q125" s="2"/>
      <c r="R125" s="2"/>
    </row>
    <row r="126" spans="1:18" x14ac:dyDescent="0.2">
      <c r="A126" s="2"/>
      <c r="B126" s="73"/>
      <c r="C126" s="74"/>
      <c r="D126" s="74"/>
      <c r="E126" s="74"/>
      <c r="F126" s="74"/>
      <c r="G126" s="74"/>
      <c r="H126" s="74"/>
      <c r="I126" s="74"/>
      <c r="J126" s="74"/>
      <c r="K126" s="192"/>
      <c r="L126" s="192"/>
      <c r="M126" s="75"/>
      <c r="N126" s="2"/>
      <c r="O126" s="2"/>
      <c r="P126" s="2"/>
      <c r="Q126" s="2"/>
      <c r="R126" s="2"/>
    </row>
    <row r="127" spans="1:18" x14ac:dyDescent="0.2">
      <c r="A127" s="2"/>
      <c r="B127" s="73"/>
      <c r="C127" s="74"/>
      <c r="D127" s="74"/>
      <c r="E127" s="74"/>
      <c r="F127" s="74"/>
      <c r="G127" s="74"/>
      <c r="H127" s="74"/>
      <c r="I127" s="74"/>
      <c r="J127" s="74"/>
      <c r="K127" s="192"/>
      <c r="L127" s="192"/>
      <c r="M127" s="75"/>
      <c r="N127" s="2"/>
      <c r="O127" s="2"/>
      <c r="P127" s="2"/>
      <c r="Q127" s="2"/>
      <c r="R127" s="2"/>
    </row>
    <row r="128" spans="1:18" x14ac:dyDescent="0.2">
      <c r="A128" s="2"/>
      <c r="B128" s="73"/>
      <c r="C128" s="74"/>
      <c r="D128" s="74"/>
      <c r="E128" s="74"/>
      <c r="F128" s="74"/>
      <c r="G128" s="74"/>
      <c r="H128" s="74"/>
      <c r="I128" s="74"/>
      <c r="J128" s="74"/>
      <c r="K128" s="192"/>
      <c r="L128" s="192"/>
      <c r="M128" s="74"/>
      <c r="N128" s="2"/>
      <c r="O128" s="2"/>
      <c r="P128" s="2"/>
      <c r="Q128" s="2"/>
      <c r="R128" s="2"/>
    </row>
    <row r="129" spans="1:18" x14ac:dyDescent="0.2">
      <c r="A129" s="2"/>
      <c r="B129" s="73"/>
      <c r="C129" s="74"/>
      <c r="D129" s="74"/>
      <c r="E129" s="74"/>
      <c r="F129" s="74"/>
      <c r="G129" s="74"/>
      <c r="H129" s="74"/>
      <c r="I129" s="74"/>
      <c r="J129" s="74"/>
      <c r="K129" s="192"/>
      <c r="L129" s="192"/>
      <c r="M129" s="74"/>
      <c r="N129" s="2"/>
      <c r="O129" s="2"/>
      <c r="P129" s="2"/>
      <c r="Q129" s="2"/>
      <c r="R129" s="2"/>
    </row>
    <row r="130" spans="1:18" x14ac:dyDescent="0.2">
      <c r="A130" s="2"/>
      <c r="B130" s="70"/>
      <c r="C130" s="74"/>
      <c r="D130" s="74"/>
      <c r="E130" s="74"/>
      <c r="F130" s="74"/>
      <c r="G130" s="74"/>
      <c r="H130" s="74"/>
      <c r="I130" s="74"/>
      <c r="J130" s="74"/>
      <c r="K130" s="192"/>
      <c r="L130" s="192"/>
      <c r="M130" s="74"/>
      <c r="N130" s="2"/>
      <c r="O130" s="2"/>
      <c r="P130" s="2"/>
      <c r="Q130" s="2"/>
      <c r="R130" s="2"/>
    </row>
    <row r="131" spans="1:18" ht="15.75" x14ac:dyDescent="0.25">
      <c r="A131" s="76"/>
      <c r="B131" s="70"/>
      <c r="C131" s="74"/>
      <c r="D131" s="74"/>
      <c r="E131" s="74"/>
      <c r="F131" s="74"/>
      <c r="G131" s="74"/>
      <c r="H131" s="74"/>
      <c r="I131" s="74"/>
      <c r="J131" s="74"/>
      <c r="K131" s="192"/>
      <c r="L131" s="192"/>
      <c r="M131" s="75"/>
      <c r="N131" s="2"/>
      <c r="O131" s="2"/>
      <c r="P131" s="2"/>
      <c r="Q131" s="2"/>
      <c r="R131" s="2"/>
    </row>
    <row r="132" spans="1:18" ht="15.75" x14ac:dyDescent="0.25">
      <c r="A132" s="76"/>
      <c r="B132" s="70"/>
      <c r="C132" s="74"/>
      <c r="D132" s="74"/>
      <c r="E132" s="74"/>
      <c r="F132" s="74"/>
      <c r="G132" s="74"/>
      <c r="H132" s="74"/>
      <c r="I132" s="74"/>
      <c r="J132" s="74"/>
      <c r="K132" s="192"/>
      <c r="L132" s="192"/>
      <c r="M132" s="75"/>
      <c r="N132" s="2"/>
      <c r="O132" s="2"/>
      <c r="P132" s="2"/>
      <c r="Q132" s="2"/>
      <c r="R132" s="2"/>
    </row>
    <row r="133" spans="1:18" ht="15.75" x14ac:dyDescent="0.25">
      <c r="A133" s="76"/>
      <c r="B133" s="70"/>
      <c r="C133" s="74"/>
      <c r="D133" s="74"/>
      <c r="E133" s="74"/>
      <c r="F133" s="74"/>
      <c r="G133" s="74"/>
      <c r="H133" s="74"/>
      <c r="I133" s="74"/>
      <c r="J133" s="74"/>
      <c r="K133" s="192"/>
      <c r="L133" s="192"/>
      <c r="M133" s="75"/>
      <c r="N133" s="2"/>
      <c r="O133" s="2"/>
      <c r="P133" s="2"/>
      <c r="Q133" s="2"/>
      <c r="R133" s="2"/>
    </row>
    <row r="134" spans="1:18" x14ac:dyDescent="0.2">
      <c r="A134" s="2"/>
      <c r="B134" s="70"/>
      <c r="C134" s="74"/>
      <c r="D134" s="74"/>
      <c r="E134" s="74"/>
      <c r="F134" s="74"/>
      <c r="G134" s="74"/>
      <c r="H134" s="74"/>
      <c r="I134" s="74"/>
      <c r="J134" s="74"/>
      <c r="K134" s="192"/>
      <c r="L134" s="192"/>
      <c r="M134" s="75"/>
      <c r="N134" s="2"/>
      <c r="O134" s="2"/>
      <c r="P134" s="2"/>
      <c r="Q134" s="2"/>
      <c r="R134" s="2"/>
    </row>
    <row r="135" spans="1:18" ht="15.75" x14ac:dyDescent="0.25">
      <c r="A135" s="76"/>
      <c r="B135" s="73"/>
      <c r="C135" s="74"/>
      <c r="D135" s="74"/>
      <c r="E135" s="74"/>
      <c r="F135" s="74"/>
      <c r="G135" s="74"/>
      <c r="H135" s="74"/>
      <c r="I135" s="74"/>
      <c r="J135" s="74"/>
      <c r="K135" s="192"/>
      <c r="L135" s="192"/>
      <c r="M135" s="75"/>
      <c r="N135" s="2"/>
      <c r="O135" s="2"/>
      <c r="P135" s="2"/>
      <c r="Q135" s="2"/>
      <c r="R135" s="2"/>
    </row>
    <row r="136" spans="1:18" x14ac:dyDescent="0.2">
      <c r="A136" s="2"/>
      <c r="B136" s="73"/>
      <c r="C136" s="74"/>
      <c r="D136" s="74"/>
      <c r="E136" s="74"/>
      <c r="F136" s="74"/>
      <c r="G136" s="74"/>
      <c r="H136" s="74"/>
      <c r="I136" s="74"/>
      <c r="J136" s="74"/>
      <c r="K136" s="192"/>
      <c r="L136" s="192"/>
      <c r="M136" s="75"/>
      <c r="N136" s="2"/>
      <c r="O136" s="2"/>
      <c r="P136" s="2"/>
      <c r="Q136" s="2"/>
      <c r="R136" s="2"/>
    </row>
    <row r="137" spans="1:18" x14ac:dyDescent="0.2">
      <c r="A137" s="2"/>
      <c r="B137" s="73"/>
      <c r="C137" s="74"/>
      <c r="D137" s="74"/>
      <c r="E137" s="74"/>
      <c r="F137" s="74"/>
      <c r="G137" s="74"/>
      <c r="H137" s="74"/>
      <c r="I137" s="74"/>
      <c r="J137" s="74"/>
      <c r="K137" s="192"/>
      <c r="L137" s="192"/>
      <c r="M137" s="75"/>
      <c r="N137" s="2"/>
      <c r="O137" s="2"/>
      <c r="P137" s="2"/>
      <c r="Q137" s="2"/>
      <c r="R137" s="2"/>
    </row>
    <row r="138" spans="1:18" x14ac:dyDescent="0.2">
      <c r="A138" s="2"/>
      <c r="B138" s="77"/>
      <c r="C138" s="74"/>
      <c r="D138" s="74"/>
      <c r="E138" s="74"/>
      <c r="F138" s="74"/>
      <c r="G138" s="74"/>
      <c r="H138" s="74"/>
      <c r="I138" s="74"/>
      <c r="J138" s="74"/>
      <c r="K138" s="192"/>
      <c r="L138" s="192"/>
      <c r="M138" s="75"/>
      <c r="N138" s="2"/>
      <c r="O138" s="2"/>
      <c r="P138" s="2"/>
      <c r="Q138" s="2"/>
      <c r="R138" s="2"/>
    </row>
    <row r="139" spans="1:18" x14ac:dyDescent="0.2">
      <c r="A139" s="2"/>
      <c r="B139" s="77"/>
      <c r="C139" s="74"/>
      <c r="D139" s="74"/>
      <c r="E139" s="74"/>
      <c r="F139" s="74"/>
      <c r="G139" s="74"/>
      <c r="H139" s="74"/>
      <c r="I139" s="74"/>
      <c r="J139" s="74"/>
      <c r="K139" s="192"/>
      <c r="L139" s="192"/>
      <c r="M139" s="75"/>
      <c r="N139" s="2"/>
      <c r="O139" s="2"/>
      <c r="P139" s="2"/>
      <c r="Q139" s="2"/>
      <c r="R139" s="2"/>
    </row>
    <row r="140" spans="1:18" x14ac:dyDescent="0.2">
      <c r="A140" s="2"/>
      <c r="B140" s="77"/>
      <c r="C140" s="74"/>
      <c r="D140" s="74"/>
      <c r="E140" s="74"/>
      <c r="F140" s="74"/>
      <c r="G140" s="74"/>
      <c r="H140" s="74"/>
      <c r="I140" s="74"/>
      <c r="J140" s="74"/>
      <c r="K140" s="192"/>
      <c r="L140" s="192"/>
      <c r="M140" s="75"/>
      <c r="N140" s="2"/>
      <c r="O140" s="2"/>
      <c r="P140" s="2"/>
      <c r="Q140" s="2"/>
      <c r="R140" s="2"/>
    </row>
    <row r="141" spans="1:18" x14ac:dyDescent="0.2">
      <c r="A141" s="2"/>
      <c r="B141" s="77"/>
      <c r="C141" s="74"/>
      <c r="D141" s="74"/>
      <c r="E141" s="74"/>
      <c r="F141" s="74"/>
      <c r="G141" s="74"/>
      <c r="H141" s="74"/>
      <c r="I141" s="74"/>
      <c r="J141" s="74"/>
      <c r="K141" s="192"/>
      <c r="L141" s="192"/>
      <c r="M141" s="75"/>
      <c r="N141" s="2"/>
      <c r="O141" s="2"/>
      <c r="P141" s="2"/>
      <c r="Q141" s="2"/>
      <c r="R141" s="2"/>
    </row>
    <row r="142" spans="1:18" x14ac:dyDescent="0.2">
      <c r="A142" s="2"/>
      <c r="B142" s="77"/>
      <c r="C142" s="74"/>
      <c r="D142" s="74"/>
      <c r="E142" s="74"/>
      <c r="F142" s="74"/>
      <c r="G142" s="74"/>
      <c r="H142" s="74"/>
      <c r="I142" s="74"/>
      <c r="J142" s="74"/>
      <c r="K142" s="192"/>
      <c r="L142" s="192"/>
      <c r="M142" s="75"/>
      <c r="N142" s="2"/>
      <c r="O142" s="2"/>
      <c r="P142" s="2"/>
      <c r="Q142" s="2"/>
      <c r="R142" s="2"/>
    </row>
    <row r="143" spans="1:18" x14ac:dyDescent="0.2">
      <c r="A143" s="2"/>
      <c r="B143" s="77"/>
      <c r="C143" s="74"/>
      <c r="D143" s="74"/>
      <c r="E143" s="74"/>
      <c r="F143" s="74"/>
      <c r="G143" s="74"/>
      <c r="H143" s="74"/>
      <c r="I143" s="74"/>
      <c r="J143" s="74"/>
      <c r="K143" s="192"/>
      <c r="L143" s="192"/>
      <c r="M143" s="75"/>
      <c r="N143" s="2"/>
      <c r="O143" s="2"/>
      <c r="P143" s="2"/>
      <c r="Q143" s="2"/>
      <c r="R143" s="2"/>
    </row>
    <row r="144" spans="1:18" x14ac:dyDescent="0.2">
      <c r="A144" s="2"/>
      <c r="B144" s="77"/>
      <c r="C144" s="74"/>
      <c r="D144" s="74"/>
      <c r="E144" s="74"/>
      <c r="F144" s="74"/>
      <c r="G144" s="74"/>
      <c r="H144" s="74"/>
      <c r="I144" s="74"/>
      <c r="J144" s="74"/>
      <c r="K144" s="192"/>
      <c r="L144" s="192"/>
      <c r="M144" s="75"/>
      <c r="N144" s="2"/>
      <c r="O144" s="2"/>
      <c r="P144" s="2"/>
      <c r="Q144" s="2"/>
      <c r="R144" s="2"/>
    </row>
    <row r="145" spans="1:18" x14ac:dyDescent="0.2">
      <c r="A145" s="2"/>
      <c r="B145" s="77"/>
      <c r="C145" s="74"/>
      <c r="D145" s="74"/>
      <c r="E145" s="74"/>
      <c r="F145" s="74"/>
      <c r="G145" s="74"/>
      <c r="H145" s="74"/>
      <c r="I145" s="74"/>
      <c r="J145" s="74"/>
      <c r="K145" s="192"/>
      <c r="L145" s="192"/>
      <c r="M145" s="75"/>
      <c r="N145" s="2"/>
      <c r="O145" s="2"/>
      <c r="P145" s="2"/>
      <c r="Q145" s="2"/>
      <c r="R145" s="2"/>
    </row>
    <row r="146" spans="1:18" x14ac:dyDescent="0.2">
      <c r="A146" s="2"/>
      <c r="B146" s="77"/>
      <c r="C146" s="74"/>
      <c r="D146" s="74"/>
      <c r="E146" s="74"/>
      <c r="F146" s="74"/>
      <c r="G146" s="74"/>
      <c r="H146" s="74"/>
      <c r="I146" s="74"/>
      <c r="J146" s="74"/>
      <c r="K146" s="192"/>
      <c r="L146" s="192"/>
      <c r="M146" s="75"/>
      <c r="N146" s="2"/>
      <c r="O146" s="2"/>
      <c r="P146" s="2"/>
      <c r="Q146" s="2"/>
      <c r="R146" s="2"/>
    </row>
    <row r="147" spans="1:18" x14ac:dyDescent="0.2">
      <c r="A147" s="2"/>
      <c r="B147" s="2"/>
      <c r="C147" s="74"/>
      <c r="D147" s="74"/>
      <c r="E147" s="74"/>
      <c r="F147" s="74"/>
      <c r="G147" s="74"/>
      <c r="H147" s="74"/>
      <c r="I147" s="74"/>
      <c r="J147" s="74"/>
      <c r="K147" s="192"/>
      <c r="L147" s="192"/>
      <c r="M147" s="75"/>
      <c r="N147" s="2"/>
      <c r="O147" s="2"/>
      <c r="P147" s="2"/>
      <c r="Q147" s="2"/>
      <c r="R147" s="2"/>
    </row>
    <row r="148" spans="1:18" ht="15.75" x14ac:dyDescent="0.25">
      <c r="A148" s="76"/>
      <c r="B148" s="2"/>
      <c r="C148" s="74"/>
      <c r="D148" s="74"/>
      <c r="E148" s="74"/>
      <c r="F148" s="74"/>
      <c r="G148" s="74"/>
      <c r="H148" s="74"/>
      <c r="I148" s="74"/>
      <c r="J148" s="74"/>
      <c r="K148" s="192"/>
      <c r="L148" s="192"/>
      <c r="M148" s="75"/>
      <c r="N148" s="2"/>
      <c r="O148" s="2"/>
      <c r="P148" s="2"/>
      <c r="Q148" s="2"/>
      <c r="R148" s="2"/>
    </row>
    <row r="149" spans="1:18" x14ac:dyDescent="0.2">
      <c r="A149" s="2"/>
      <c r="B149" s="2"/>
      <c r="C149" s="74"/>
      <c r="D149" s="74"/>
      <c r="E149" s="74"/>
      <c r="F149" s="74"/>
      <c r="G149" s="74"/>
      <c r="H149" s="74"/>
      <c r="I149" s="74"/>
      <c r="J149" s="74"/>
      <c r="K149" s="192"/>
      <c r="L149" s="192"/>
      <c r="M149" s="75"/>
      <c r="N149" s="2"/>
      <c r="O149" s="2"/>
      <c r="P149" s="2"/>
      <c r="Q149" s="2"/>
      <c r="R149" s="2"/>
    </row>
    <row r="150" spans="1:18" x14ac:dyDescent="0.2">
      <c r="A150" s="2"/>
      <c r="B150" s="2"/>
      <c r="C150" s="74"/>
      <c r="D150" s="74"/>
      <c r="E150" s="74"/>
      <c r="F150" s="74"/>
      <c r="G150" s="74"/>
      <c r="H150" s="74"/>
      <c r="I150" s="74"/>
      <c r="J150" s="74"/>
      <c r="K150" s="192"/>
      <c r="L150" s="192"/>
      <c r="M150" s="75"/>
      <c r="N150" s="2"/>
      <c r="O150" s="2"/>
      <c r="P150" s="2"/>
      <c r="Q150" s="2"/>
      <c r="R150" s="2"/>
    </row>
    <row r="151" spans="1:18" ht="15.75" x14ac:dyDescent="0.25">
      <c r="A151" s="76"/>
      <c r="B151" s="2"/>
      <c r="C151" s="74"/>
      <c r="D151" s="74"/>
      <c r="E151" s="74"/>
      <c r="F151" s="74"/>
      <c r="G151" s="74"/>
      <c r="H151" s="74"/>
      <c r="I151" s="74"/>
      <c r="J151" s="74"/>
      <c r="K151" s="192"/>
      <c r="L151" s="192"/>
      <c r="M151" s="75"/>
      <c r="N151" s="2"/>
      <c r="O151" s="2"/>
      <c r="P151" s="2"/>
      <c r="Q151" s="2"/>
      <c r="R151" s="2"/>
    </row>
    <row r="152" spans="1:18" ht="15.75" x14ac:dyDescent="0.25">
      <c r="A152" s="76"/>
      <c r="B152" s="2"/>
      <c r="C152" s="74"/>
      <c r="D152" s="74"/>
      <c r="E152" s="74"/>
      <c r="F152" s="74"/>
      <c r="G152" s="74"/>
      <c r="H152" s="74"/>
      <c r="I152" s="74"/>
      <c r="J152" s="74"/>
      <c r="K152" s="192"/>
      <c r="L152" s="192"/>
      <c r="M152" s="75"/>
      <c r="N152" s="2"/>
      <c r="O152" s="2"/>
      <c r="P152" s="2"/>
      <c r="Q152" s="2"/>
      <c r="R152" s="2"/>
    </row>
    <row r="153" spans="1:18" ht="15.75" x14ac:dyDescent="0.25">
      <c r="A153" s="76"/>
      <c r="B153" s="77"/>
      <c r="C153" s="74"/>
      <c r="D153" s="74"/>
      <c r="E153" s="74"/>
      <c r="F153" s="74"/>
      <c r="G153" s="74"/>
      <c r="H153" s="74"/>
      <c r="I153" s="74"/>
      <c r="J153" s="74"/>
      <c r="K153" s="192"/>
      <c r="L153" s="192"/>
      <c r="M153" s="75"/>
      <c r="N153" s="2"/>
      <c r="O153" s="2"/>
      <c r="P153" s="2"/>
      <c r="Q153" s="2"/>
      <c r="R153" s="2"/>
    </row>
    <row r="154" spans="1:18" x14ac:dyDescent="0.2">
      <c r="A154" s="2"/>
      <c r="B154" s="77"/>
      <c r="C154" s="74"/>
      <c r="D154" s="74"/>
      <c r="E154" s="74"/>
      <c r="F154" s="74"/>
      <c r="G154" s="74"/>
      <c r="H154" s="74"/>
      <c r="I154" s="74"/>
      <c r="J154" s="74"/>
      <c r="K154" s="192"/>
      <c r="L154" s="192"/>
      <c r="M154" s="75"/>
      <c r="N154" s="2"/>
      <c r="O154" s="2"/>
      <c r="P154" s="2"/>
      <c r="Q154" s="2"/>
      <c r="R154" s="2"/>
    </row>
    <row r="155" spans="1:18" x14ac:dyDescent="0.2">
      <c r="A155" s="2"/>
      <c r="B155" s="77"/>
      <c r="C155" s="74"/>
      <c r="D155" s="74"/>
      <c r="E155" s="74"/>
      <c r="F155" s="74"/>
      <c r="G155" s="74"/>
      <c r="H155" s="74"/>
      <c r="I155" s="74"/>
      <c r="J155" s="74"/>
      <c r="K155" s="192"/>
      <c r="L155" s="192"/>
      <c r="M155" s="75"/>
      <c r="N155" s="2"/>
      <c r="O155" s="2"/>
      <c r="P155" s="2"/>
      <c r="Q155" s="2"/>
      <c r="R155" s="2"/>
    </row>
    <row r="156" spans="1:18" x14ac:dyDescent="0.2">
      <c r="A156" s="2"/>
      <c r="B156" s="77"/>
      <c r="C156" s="74"/>
      <c r="D156" s="74"/>
      <c r="E156" s="74"/>
      <c r="F156" s="74"/>
      <c r="G156" s="74"/>
      <c r="H156" s="74"/>
      <c r="I156" s="74"/>
      <c r="J156" s="74"/>
      <c r="K156" s="192"/>
      <c r="L156" s="192"/>
      <c r="M156" s="75"/>
      <c r="N156" s="2"/>
      <c r="O156" s="2"/>
      <c r="P156" s="2"/>
      <c r="Q156" s="2"/>
      <c r="R156" s="2"/>
    </row>
    <row r="157" spans="1:18" x14ac:dyDescent="0.2">
      <c r="A157" s="2"/>
      <c r="B157" s="77"/>
      <c r="C157" s="74"/>
      <c r="D157" s="74"/>
      <c r="E157" s="74"/>
      <c r="F157" s="74"/>
      <c r="G157" s="74"/>
      <c r="H157" s="74"/>
      <c r="I157" s="74"/>
      <c r="J157" s="74"/>
      <c r="K157" s="192"/>
      <c r="L157" s="192"/>
      <c r="M157" s="75"/>
      <c r="N157" s="2"/>
      <c r="O157" s="2"/>
      <c r="P157" s="2"/>
      <c r="Q157" s="2"/>
      <c r="R157" s="2"/>
    </row>
    <row r="158" spans="1:18" x14ac:dyDescent="0.2">
      <c r="A158" s="2"/>
      <c r="B158" s="77"/>
      <c r="C158" s="74"/>
      <c r="D158" s="74"/>
      <c r="E158" s="74"/>
      <c r="F158" s="74"/>
      <c r="G158" s="74"/>
      <c r="H158" s="74"/>
      <c r="I158" s="74"/>
      <c r="J158" s="74"/>
      <c r="K158" s="192"/>
      <c r="L158" s="192"/>
      <c r="M158" s="75"/>
      <c r="N158" s="2"/>
      <c r="O158" s="2"/>
      <c r="P158" s="2"/>
      <c r="Q158" s="2"/>
      <c r="R158" s="2"/>
    </row>
    <row r="159" spans="1:18" x14ac:dyDescent="0.2">
      <c r="A159" s="2"/>
      <c r="B159" s="77"/>
      <c r="C159" s="74"/>
      <c r="D159" s="74"/>
      <c r="E159" s="74"/>
      <c r="F159" s="74"/>
      <c r="G159" s="74"/>
      <c r="H159" s="74"/>
      <c r="I159" s="74"/>
      <c r="J159" s="74"/>
      <c r="K159" s="192"/>
      <c r="L159" s="192"/>
      <c r="M159" s="75"/>
      <c r="N159" s="2"/>
      <c r="O159" s="2"/>
      <c r="P159" s="2"/>
      <c r="Q159" s="2"/>
      <c r="R159" s="2"/>
    </row>
    <row r="160" spans="1:18" x14ac:dyDescent="0.2">
      <c r="A160" s="2"/>
      <c r="B160" s="77"/>
      <c r="C160" s="74"/>
      <c r="D160" s="74"/>
      <c r="E160" s="74"/>
      <c r="F160" s="74"/>
      <c r="G160" s="74"/>
      <c r="H160" s="74"/>
      <c r="I160" s="74"/>
      <c r="J160" s="74"/>
      <c r="K160" s="192"/>
      <c r="L160" s="192"/>
      <c r="M160" s="75"/>
      <c r="N160" s="2"/>
      <c r="O160" s="2"/>
      <c r="P160" s="2"/>
      <c r="Q160" s="2"/>
      <c r="R160" s="2"/>
    </row>
    <row r="161" spans="1:18" x14ac:dyDescent="0.2">
      <c r="A161" s="2"/>
      <c r="B161" s="77"/>
      <c r="C161" s="74"/>
      <c r="D161" s="74"/>
      <c r="E161" s="74"/>
      <c r="F161" s="74"/>
      <c r="G161" s="74"/>
      <c r="H161" s="74"/>
      <c r="I161" s="74"/>
      <c r="J161" s="74"/>
      <c r="K161" s="192"/>
      <c r="L161" s="192"/>
      <c r="M161" s="75"/>
      <c r="N161" s="2"/>
      <c r="O161" s="2"/>
      <c r="P161" s="2"/>
      <c r="Q161" s="2"/>
      <c r="R161" s="2"/>
    </row>
    <row r="162" spans="1:18" x14ac:dyDescent="0.2">
      <c r="A162" s="2"/>
      <c r="B162" s="77"/>
      <c r="C162" s="74"/>
      <c r="D162" s="74"/>
      <c r="E162" s="74"/>
      <c r="F162" s="74"/>
      <c r="G162" s="74"/>
      <c r="H162" s="74"/>
      <c r="I162" s="74"/>
      <c r="J162" s="74"/>
      <c r="K162" s="192"/>
      <c r="L162" s="192"/>
      <c r="M162" s="75"/>
      <c r="N162" s="2"/>
      <c r="O162" s="2"/>
      <c r="P162" s="2"/>
      <c r="Q162" s="2"/>
      <c r="R162" s="2"/>
    </row>
    <row r="163" spans="1:18" x14ac:dyDescent="0.2">
      <c r="A163" s="2"/>
      <c r="B163" s="77"/>
      <c r="C163" s="74"/>
      <c r="D163" s="74"/>
      <c r="E163" s="74"/>
      <c r="F163" s="74"/>
      <c r="G163" s="74"/>
      <c r="H163" s="74"/>
      <c r="I163" s="74"/>
      <c r="J163" s="74"/>
      <c r="K163" s="192"/>
      <c r="L163" s="192"/>
      <c r="M163" s="75"/>
      <c r="N163" s="2"/>
      <c r="O163" s="2"/>
      <c r="P163" s="2"/>
      <c r="Q163" s="2"/>
      <c r="R163" s="2"/>
    </row>
    <row r="164" spans="1:18" x14ac:dyDescent="0.2">
      <c r="A164" s="2"/>
      <c r="B164" s="77"/>
      <c r="C164" s="74"/>
      <c r="D164" s="74"/>
      <c r="E164" s="74"/>
      <c r="F164" s="74"/>
      <c r="G164" s="74"/>
      <c r="H164" s="74"/>
      <c r="I164" s="74"/>
      <c r="J164" s="74"/>
      <c r="K164" s="192"/>
      <c r="L164" s="192"/>
      <c r="M164" s="75"/>
      <c r="N164" s="2"/>
      <c r="O164" s="2"/>
      <c r="P164" s="2"/>
      <c r="Q164" s="2"/>
      <c r="R164" s="2"/>
    </row>
    <row r="165" spans="1:18" x14ac:dyDescent="0.2">
      <c r="A165" s="2"/>
      <c r="B165" s="2"/>
      <c r="C165" s="74"/>
      <c r="D165" s="74"/>
      <c r="E165" s="74"/>
      <c r="F165" s="74"/>
      <c r="G165" s="74"/>
      <c r="H165" s="74"/>
      <c r="I165" s="74"/>
      <c r="J165" s="74"/>
      <c r="K165" s="192"/>
      <c r="L165" s="192"/>
      <c r="M165" s="75"/>
      <c r="N165" s="2"/>
      <c r="O165" s="2"/>
      <c r="P165" s="2"/>
      <c r="Q165" s="2"/>
      <c r="R165" s="2"/>
    </row>
    <row r="166" spans="1:18" ht="15.75" x14ac:dyDescent="0.25">
      <c r="A166" s="76"/>
      <c r="B166" s="2"/>
      <c r="C166" s="74"/>
      <c r="D166" s="74"/>
      <c r="E166" s="74"/>
      <c r="F166" s="74"/>
      <c r="G166" s="74"/>
      <c r="H166" s="74"/>
      <c r="I166" s="74"/>
      <c r="J166" s="74"/>
      <c r="K166" s="192"/>
      <c r="L166" s="192"/>
      <c r="M166" s="75"/>
      <c r="N166" s="2"/>
      <c r="O166" s="2"/>
      <c r="P166" s="2"/>
      <c r="Q166" s="2"/>
      <c r="R166" s="2"/>
    </row>
    <row r="167" spans="1:18" x14ac:dyDescent="0.2">
      <c r="A167" s="2"/>
      <c r="B167" s="2"/>
      <c r="C167" s="74"/>
      <c r="D167" s="74"/>
      <c r="E167" s="74"/>
      <c r="F167" s="74"/>
      <c r="G167" s="74"/>
      <c r="H167" s="74"/>
      <c r="I167" s="74"/>
      <c r="J167" s="74"/>
      <c r="K167" s="192"/>
      <c r="L167" s="192"/>
      <c r="M167" s="75"/>
      <c r="N167" s="2"/>
      <c r="O167" s="2"/>
      <c r="P167" s="2"/>
      <c r="Q167" s="2"/>
      <c r="R167" s="2"/>
    </row>
    <row r="168" spans="1:18" x14ac:dyDescent="0.2">
      <c r="A168" s="2"/>
      <c r="B168" s="2"/>
      <c r="C168" s="74"/>
      <c r="D168" s="74"/>
      <c r="E168" s="74"/>
      <c r="F168" s="74"/>
      <c r="G168" s="74"/>
      <c r="H168" s="74"/>
      <c r="I168" s="74"/>
      <c r="J168" s="74"/>
      <c r="K168" s="192"/>
      <c r="L168" s="192"/>
      <c r="M168" s="75"/>
      <c r="N168" s="2"/>
      <c r="O168" s="2"/>
      <c r="P168" s="2"/>
      <c r="Q168" s="2"/>
      <c r="R168" s="2"/>
    </row>
    <row r="169" spans="1:18" ht="15.75" x14ac:dyDescent="0.25">
      <c r="A169" s="76"/>
      <c r="B169" s="77"/>
      <c r="C169" s="74"/>
      <c r="D169" s="74"/>
      <c r="E169" s="74"/>
      <c r="F169" s="74"/>
      <c r="G169" s="74"/>
      <c r="H169" s="74"/>
      <c r="I169" s="74"/>
      <c r="J169" s="74"/>
      <c r="K169" s="192"/>
      <c r="L169" s="192"/>
      <c r="M169" s="75"/>
      <c r="N169" s="2"/>
      <c r="O169" s="2"/>
      <c r="P169" s="2"/>
      <c r="Q169" s="2"/>
      <c r="R169" s="2"/>
    </row>
    <row r="170" spans="1:18" x14ac:dyDescent="0.2">
      <c r="A170" s="2"/>
      <c r="B170" s="77"/>
      <c r="C170" s="74"/>
      <c r="D170" s="74"/>
      <c r="E170" s="74"/>
      <c r="F170" s="74"/>
      <c r="G170" s="74"/>
      <c r="H170" s="74"/>
      <c r="I170" s="74"/>
      <c r="J170" s="74"/>
      <c r="K170" s="192"/>
      <c r="L170" s="192"/>
      <c r="M170" s="75"/>
      <c r="N170" s="2"/>
      <c r="O170" s="2"/>
      <c r="P170" s="2"/>
      <c r="Q170" s="2"/>
      <c r="R170" s="2"/>
    </row>
    <row r="171" spans="1:18" x14ac:dyDescent="0.2">
      <c r="A171" s="2"/>
      <c r="B171" s="77"/>
      <c r="C171" s="74"/>
      <c r="D171" s="74"/>
      <c r="E171" s="74"/>
      <c r="F171" s="74"/>
      <c r="G171" s="74"/>
      <c r="H171" s="74"/>
      <c r="I171" s="74"/>
      <c r="J171" s="74"/>
      <c r="K171" s="192"/>
      <c r="L171" s="192"/>
      <c r="M171" s="75"/>
      <c r="N171" s="2"/>
      <c r="O171" s="2"/>
      <c r="P171" s="2"/>
      <c r="Q171" s="2"/>
      <c r="R171" s="2"/>
    </row>
    <row r="172" spans="1:18" x14ac:dyDescent="0.2">
      <c r="A172" s="2"/>
      <c r="B172" s="2"/>
      <c r="C172" s="74"/>
      <c r="D172" s="74"/>
      <c r="E172" s="74"/>
      <c r="F172" s="74"/>
      <c r="G172" s="74"/>
      <c r="H172" s="74"/>
      <c r="I172" s="74"/>
      <c r="J172" s="74"/>
      <c r="K172" s="192"/>
      <c r="L172" s="192"/>
      <c r="M172" s="75"/>
      <c r="N172" s="2"/>
      <c r="O172" s="2"/>
      <c r="P172" s="2"/>
      <c r="Q172" s="2"/>
      <c r="R172" s="2"/>
    </row>
    <row r="173" spans="1:18" x14ac:dyDescent="0.2">
      <c r="A173" s="2"/>
      <c r="B173" s="2"/>
      <c r="C173" s="74"/>
      <c r="D173" s="74"/>
      <c r="E173" s="74"/>
      <c r="F173" s="74"/>
      <c r="G173" s="74"/>
      <c r="H173" s="74"/>
      <c r="I173" s="74"/>
      <c r="J173" s="74"/>
      <c r="K173" s="192"/>
      <c r="L173" s="192"/>
      <c r="M173" s="75"/>
      <c r="N173" s="2"/>
      <c r="O173" s="2"/>
      <c r="P173" s="2"/>
      <c r="Q173" s="2"/>
      <c r="R173" s="2"/>
    </row>
    <row r="174" spans="1:18" x14ac:dyDescent="0.2">
      <c r="A174" s="2"/>
      <c r="B174" s="2"/>
      <c r="C174" s="74"/>
      <c r="D174" s="74"/>
      <c r="E174" s="74"/>
      <c r="F174" s="74"/>
      <c r="G174" s="74"/>
      <c r="H174" s="74"/>
      <c r="I174" s="74"/>
      <c r="J174" s="74"/>
      <c r="K174" s="192"/>
      <c r="L174" s="192"/>
      <c r="M174" s="75"/>
      <c r="N174" s="2"/>
      <c r="O174" s="2"/>
      <c r="P174" s="2"/>
      <c r="Q174" s="2"/>
      <c r="R174" s="2"/>
    </row>
    <row r="175" spans="1:18" ht="15.75" x14ac:dyDescent="0.25">
      <c r="A175" s="76"/>
      <c r="B175" s="2"/>
      <c r="C175" s="74"/>
      <c r="D175" s="74"/>
      <c r="E175" s="74"/>
      <c r="F175" s="74"/>
      <c r="G175" s="74"/>
      <c r="H175" s="74"/>
      <c r="I175" s="74"/>
      <c r="J175" s="74"/>
      <c r="K175" s="192"/>
      <c r="L175" s="192"/>
      <c r="M175" s="75"/>
      <c r="N175" s="2"/>
      <c r="O175" s="2"/>
      <c r="P175" s="2"/>
      <c r="Q175" s="2"/>
      <c r="R175" s="2"/>
    </row>
    <row r="176" spans="1:18" x14ac:dyDescent="0.2">
      <c r="A176" s="2"/>
      <c r="B176" s="2"/>
      <c r="C176" s="74"/>
      <c r="D176" s="74"/>
      <c r="E176" s="74"/>
      <c r="F176" s="74"/>
      <c r="G176" s="74"/>
      <c r="H176" s="74"/>
      <c r="I176" s="74"/>
      <c r="J176" s="74"/>
      <c r="K176" s="192"/>
      <c r="L176" s="192"/>
      <c r="M176" s="75"/>
      <c r="N176" s="2"/>
      <c r="O176" s="2"/>
      <c r="P176" s="2"/>
      <c r="Q176" s="2"/>
      <c r="R176" s="2"/>
    </row>
    <row r="177" spans="1:18" x14ac:dyDescent="0.2">
      <c r="A177" s="2"/>
      <c r="B177" s="2"/>
      <c r="C177" s="74"/>
      <c r="D177" s="74"/>
      <c r="E177" s="74"/>
      <c r="F177" s="74"/>
      <c r="G177" s="74"/>
      <c r="H177" s="74"/>
      <c r="I177" s="74"/>
      <c r="J177" s="74"/>
      <c r="K177" s="192"/>
      <c r="L177" s="192"/>
      <c r="M177" s="75"/>
      <c r="N177" s="2"/>
      <c r="O177" s="2"/>
      <c r="P177" s="2"/>
      <c r="Q177" s="2"/>
      <c r="R177" s="2"/>
    </row>
    <row r="178" spans="1:18" ht="15.75" x14ac:dyDescent="0.25">
      <c r="A178" s="76"/>
      <c r="B178" s="76"/>
      <c r="C178" s="74"/>
      <c r="D178" s="74"/>
      <c r="E178" s="74"/>
      <c r="F178" s="74"/>
      <c r="G178" s="74"/>
      <c r="H178" s="74"/>
      <c r="I178" s="74"/>
      <c r="J178" s="74"/>
      <c r="K178" s="192"/>
      <c r="L178" s="192"/>
      <c r="M178" s="75"/>
      <c r="N178" s="2"/>
      <c r="O178" s="2"/>
      <c r="P178" s="2"/>
      <c r="Q178" s="2"/>
      <c r="R178" s="2"/>
    </row>
    <row r="179" spans="1:18" x14ac:dyDescent="0.2">
      <c r="A179" s="2"/>
      <c r="B179" s="2"/>
      <c r="C179" s="74"/>
      <c r="D179" s="74"/>
      <c r="E179" s="74"/>
      <c r="F179" s="74"/>
      <c r="G179" s="74"/>
      <c r="H179" s="74"/>
      <c r="I179" s="74"/>
      <c r="J179" s="74"/>
      <c r="K179" s="192"/>
      <c r="L179" s="192"/>
      <c r="M179" s="75"/>
      <c r="N179" s="2"/>
      <c r="O179" s="2"/>
      <c r="P179" s="2"/>
      <c r="Q179" s="2"/>
      <c r="R179" s="2"/>
    </row>
    <row r="180" spans="1:18" x14ac:dyDescent="0.2">
      <c r="A180" s="2"/>
      <c r="B180" s="2"/>
      <c r="C180" s="74"/>
      <c r="D180" s="74"/>
      <c r="E180" s="74"/>
      <c r="F180" s="74"/>
      <c r="G180" s="74"/>
      <c r="H180" s="74"/>
      <c r="I180" s="74"/>
      <c r="J180" s="74"/>
      <c r="K180" s="192"/>
      <c r="L180" s="192"/>
      <c r="M180" s="75"/>
      <c r="N180" s="2"/>
      <c r="O180" s="2"/>
      <c r="P180" s="2"/>
      <c r="Q180" s="2"/>
      <c r="R180" s="2"/>
    </row>
    <row r="181" spans="1:18" x14ac:dyDescent="0.2">
      <c r="A181" s="2"/>
      <c r="B181" s="2"/>
      <c r="C181" s="74"/>
      <c r="D181" s="74"/>
      <c r="E181" s="74"/>
      <c r="F181" s="74"/>
      <c r="G181" s="74"/>
      <c r="H181" s="74"/>
      <c r="I181" s="74"/>
      <c r="J181" s="74"/>
      <c r="K181" s="192"/>
      <c r="L181" s="192"/>
      <c r="M181" s="75"/>
      <c r="N181" s="2"/>
      <c r="O181" s="2"/>
      <c r="P181" s="2"/>
      <c r="Q181" s="2"/>
      <c r="R181" s="2"/>
    </row>
    <row r="182" spans="1:18" x14ac:dyDescent="0.2">
      <c r="A182" s="2"/>
      <c r="B182" s="2"/>
      <c r="C182" s="74"/>
      <c r="D182" s="74"/>
      <c r="E182" s="74"/>
      <c r="F182" s="74"/>
      <c r="G182" s="74"/>
      <c r="H182" s="74"/>
      <c r="I182" s="74"/>
      <c r="J182" s="74"/>
      <c r="K182" s="192"/>
      <c r="L182" s="192"/>
      <c r="M182" s="75"/>
      <c r="N182" s="2"/>
      <c r="O182" s="2"/>
      <c r="P182" s="2"/>
      <c r="Q182" s="2"/>
      <c r="R182" s="2"/>
    </row>
    <row r="183" spans="1:18" x14ac:dyDescent="0.2">
      <c r="A183" s="2"/>
      <c r="B183" s="2"/>
      <c r="C183" s="74"/>
      <c r="D183" s="74"/>
      <c r="E183" s="74"/>
      <c r="F183" s="74"/>
      <c r="G183" s="74"/>
      <c r="H183" s="74"/>
      <c r="I183" s="74"/>
      <c r="J183" s="74"/>
      <c r="K183" s="192"/>
      <c r="L183" s="192"/>
      <c r="M183" s="75"/>
      <c r="N183" s="2"/>
      <c r="O183" s="2"/>
      <c r="P183" s="2"/>
      <c r="Q183" s="2"/>
      <c r="R183" s="2"/>
    </row>
    <row r="184" spans="1:18" x14ac:dyDescent="0.2">
      <c r="A184" s="2"/>
      <c r="B184" s="2"/>
      <c r="C184" s="74"/>
      <c r="D184" s="74"/>
      <c r="E184" s="74"/>
      <c r="F184" s="74"/>
      <c r="G184" s="74"/>
      <c r="H184" s="74"/>
      <c r="I184" s="74"/>
      <c r="J184" s="74"/>
      <c r="K184" s="192"/>
      <c r="L184" s="192"/>
      <c r="M184" s="75"/>
      <c r="N184" s="2"/>
      <c r="O184" s="2"/>
      <c r="P184" s="2"/>
      <c r="Q184" s="2"/>
      <c r="R184" s="2"/>
    </row>
    <row r="185" spans="1:18" x14ac:dyDescent="0.2">
      <c r="A185" s="2"/>
      <c r="B185" s="2"/>
      <c r="C185" s="74"/>
      <c r="D185" s="74"/>
      <c r="E185" s="74"/>
      <c r="F185" s="74"/>
      <c r="G185" s="74"/>
      <c r="H185" s="74"/>
      <c r="I185" s="74"/>
      <c r="J185" s="74"/>
      <c r="K185" s="192"/>
      <c r="L185" s="192"/>
      <c r="M185" s="75"/>
      <c r="N185" s="2"/>
      <c r="O185" s="2"/>
      <c r="P185" s="2"/>
      <c r="Q185" s="2"/>
      <c r="R185" s="2"/>
    </row>
    <row r="186" spans="1:18" x14ac:dyDescent="0.2">
      <c r="A186" s="2"/>
      <c r="B186" s="2"/>
      <c r="C186" s="74"/>
      <c r="D186" s="74"/>
      <c r="E186" s="74"/>
      <c r="F186" s="74"/>
      <c r="G186" s="74"/>
      <c r="H186" s="74"/>
      <c r="I186" s="74"/>
      <c r="J186" s="74"/>
      <c r="K186" s="192"/>
      <c r="L186" s="192"/>
      <c r="M186" s="75"/>
      <c r="N186" s="2"/>
      <c r="O186" s="2"/>
      <c r="P186" s="2"/>
      <c r="Q186" s="2"/>
      <c r="R186" s="2"/>
    </row>
    <row r="187" spans="1:18" x14ac:dyDescent="0.2">
      <c r="A187" s="2"/>
      <c r="B187" s="2"/>
      <c r="C187" s="74"/>
      <c r="D187" s="74"/>
      <c r="E187" s="74"/>
      <c r="F187" s="74"/>
      <c r="G187" s="74"/>
      <c r="H187" s="74"/>
      <c r="I187" s="74"/>
      <c r="J187" s="74"/>
      <c r="K187" s="192"/>
      <c r="L187" s="192"/>
      <c r="M187" s="75"/>
      <c r="N187" s="2"/>
      <c r="O187" s="2"/>
      <c r="P187" s="2"/>
      <c r="Q187" s="2"/>
      <c r="R187" s="2"/>
    </row>
    <row r="188" spans="1:18" x14ac:dyDescent="0.2">
      <c r="A188" s="2"/>
      <c r="B188" s="2"/>
      <c r="C188" s="74"/>
      <c r="D188" s="74"/>
      <c r="E188" s="74"/>
      <c r="F188" s="74"/>
      <c r="G188" s="74"/>
      <c r="H188" s="74"/>
      <c r="I188" s="74"/>
      <c r="J188" s="74"/>
      <c r="K188" s="192"/>
      <c r="L188" s="192"/>
      <c r="M188" s="75"/>
      <c r="N188" s="2"/>
      <c r="O188" s="2"/>
      <c r="P188" s="2"/>
      <c r="Q188" s="2"/>
      <c r="R188" s="2"/>
    </row>
    <row r="189" spans="1:18" x14ac:dyDescent="0.2">
      <c r="A189" s="2"/>
      <c r="B189" s="2"/>
      <c r="C189" s="74"/>
      <c r="D189" s="74"/>
      <c r="E189" s="74"/>
      <c r="F189" s="74"/>
      <c r="G189" s="74"/>
      <c r="H189" s="74"/>
      <c r="I189" s="74"/>
      <c r="J189" s="74"/>
      <c r="K189" s="192"/>
      <c r="L189" s="192"/>
      <c r="M189" s="75"/>
      <c r="N189" s="2"/>
      <c r="O189" s="2"/>
      <c r="P189" s="2"/>
      <c r="Q189" s="2"/>
      <c r="R189" s="2"/>
    </row>
    <row r="190" spans="1:18" x14ac:dyDescent="0.2">
      <c r="A190" s="2"/>
      <c r="B190" s="2"/>
      <c r="C190" s="74"/>
      <c r="D190" s="74"/>
      <c r="E190" s="74"/>
      <c r="F190" s="74"/>
      <c r="G190" s="74"/>
      <c r="H190" s="74"/>
      <c r="I190" s="74"/>
      <c r="J190" s="74"/>
      <c r="K190" s="192"/>
      <c r="L190" s="192"/>
      <c r="M190" s="75"/>
      <c r="N190" s="2"/>
      <c r="O190" s="2"/>
      <c r="P190" s="2"/>
      <c r="Q190" s="2"/>
      <c r="R190" s="2"/>
    </row>
    <row r="191" spans="1:18" x14ac:dyDescent="0.2">
      <c r="A191" s="2"/>
      <c r="B191" s="2"/>
      <c r="C191" s="74"/>
      <c r="D191" s="74"/>
      <c r="E191" s="74"/>
      <c r="F191" s="74"/>
      <c r="G191" s="74"/>
      <c r="H191" s="74"/>
      <c r="I191" s="74"/>
      <c r="J191" s="74"/>
      <c r="K191" s="192"/>
      <c r="L191" s="192"/>
      <c r="M191" s="75"/>
      <c r="N191" s="2"/>
      <c r="O191" s="2"/>
      <c r="P191" s="2"/>
      <c r="Q191" s="2"/>
      <c r="R191" s="2"/>
    </row>
    <row r="192" spans="1:18" x14ac:dyDescent="0.2">
      <c r="A192" s="2"/>
      <c r="B192" s="2"/>
      <c r="C192" s="74"/>
      <c r="D192" s="74"/>
      <c r="E192" s="74"/>
      <c r="F192" s="74"/>
      <c r="G192" s="74"/>
      <c r="H192" s="74"/>
      <c r="I192" s="74"/>
      <c r="J192" s="74"/>
      <c r="K192" s="192"/>
      <c r="L192" s="192"/>
      <c r="M192" s="75"/>
      <c r="N192" s="2"/>
      <c r="O192" s="2"/>
      <c r="P192" s="2"/>
      <c r="Q192" s="2"/>
      <c r="R192" s="2"/>
    </row>
    <row r="193" spans="1:18" x14ac:dyDescent="0.2">
      <c r="A193" s="2"/>
      <c r="B193" s="2"/>
      <c r="C193" s="74"/>
      <c r="D193" s="74"/>
      <c r="E193" s="74"/>
      <c r="F193" s="74"/>
      <c r="G193" s="74"/>
      <c r="H193" s="74"/>
      <c r="I193" s="74"/>
      <c r="J193" s="74"/>
      <c r="K193" s="192"/>
      <c r="L193" s="192"/>
      <c r="M193" s="75"/>
      <c r="N193" s="2"/>
      <c r="O193" s="2"/>
      <c r="P193" s="2"/>
      <c r="Q193" s="2"/>
      <c r="R193" s="2"/>
    </row>
    <row r="194" spans="1:18" x14ac:dyDescent="0.2">
      <c r="A194" s="2"/>
      <c r="B194" s="2"/>
      <c r="C194" s="74"/>
      <c r="D194" s="74"/>
      <c r="E194" s="74"/>
      <c r="F194" s="74"/>
      <c r="G194" s="74"/>
      <c r="H194" s="74"/>
      <c r="I194" s="74"/>
      <c r="J194" s="74"/>
      <c r="K194" s="192"/>
      <c r="L194" s="192"/>
      <c r="M194" s="75"/>
      <c r="N194" s="2"/>
      <c r="O194" s="2"/>
      <c r="P194" s="2"/>
      <c r="Q194" s="2"/>
      <c r="R194" s="2"/>
    </row>
    <row r="195" spans="1:18" x14ac:dyDescent="0.2">
      <c r="A195" s="2"/>
      <c r="B195" s="2"/>
      <c r="C195" s="74"/>
      <c r="D195" s="74"/>
      <c r="E195" s="74"/>
      <c r="F195" s="74"/>
      <c r="G195" s="74"/>
      <c r="H195" s="74"/>
      <c r="I195" s="74"/>
      <c r="J195" s="74"/>
      <c r="K195" s="192"/>
      <c r="L195" s="192"/>
      <c r="M195" s="75"/>
      <c r="N195" s="2"/>
      <c r="O195" s="2"/>
      <c r="P195" s="2"/>
      <c r="Q195" s="2"/>
      <c r="R195" s="2"/>
    </row>
    <row r="196" spans="1:18" x14ac:dyDescent="0.2">
      <c r="A196" s="2"/>
      <c r="B196" s="2"/>
      <c r="C196" s="74"/>
      <c r="D196" s="74"/>
      <c r="E196" s="74"/>
      <c r="F196" s="74"/>
      <c r="G196" s="74"/>
      <c r="H196" s="74"/>
      <c r="I196" s="74"/>
      <c r="J196" s="74"/>
      <c r="K196" s="192"/>
      <c r="L196" s="192"/>
      <c r="M196" s="75"/>
      <c r="N196" s="2"/>
      <c r="O196" s="2"/>
      <c r="P196" s="2"/>
      <c r="Q196" s="2"/>
      <c r="R196" s="2"/>
    </row>
    <row r="197" spans="1:18" x14ac:dyDescent="0.2">
      <c r="A197" s="2"/>
      <c r="B197" s="2"/>
      <c r="C197" s="74"/>
      <c r="D197" s="74"/>
      <c r="E197" s="74"/>
      <c r="F197" s="74"/>
      <c r="G197" s="74"/>
      <c r="H197" s="74"/>
      <c r="I197" s="74"/>
      <c r="J197" s="74"/>
      <c r="K197" s="192"/>
      <c r="L197" s="192"/>
      <c r="M197" s="75"/>
      <c r="N197" s="2"/>
      <c r="O197" s="2"/>
      <c r="P197" s="2"/>
      <c r="Q197" s="2"/>
      <c r="R197" s="2"/>
    </row>
    <row r="198" spans="1:18" x14ac:dyDescent="0.2">
      <c r="A198" s="2"/>
      <c r="B198" s="2"/>
      <c r="C198" s="74"/>
      <c r="D198" s="74"/>
      <c r="E198" s="74"/>
      <c r="F198" s="74"/>
      <c r="G198" s="74"/>
      <c r="H198" s="74"/>
      <c r="I198" s="74"/>
      <c r="J198" s="74"/>
      <c r="K198" s="192"/>
      <c r="L198" s="192"/>
      <c r="M198" s="75"/>
      <c r="N198" s="2"/>
      <c r="O198" s="2"/>
      <c r="P198" s="2"/>
      <c r="Q198" s="2"/>
      <c r="R198" s="2"/>
    </row>
    <row r="199" spans="1:18" x14ac:dyDescent="0.2">
      <c r="A199" s="2"/>
      <c r="B199" s="2"/>
      <c r="C199" s="74"/>
      <c r="D199" s="74"/>
      <c r="E199" s="74"/>
      <c r="F199" s="74"/>
      <c r="G199" s="74"/>
      <c r="H199" s="74"/>
      <c r="I199" s="74"/>
      <c r="J199" s="74"/>
      <c r="K199" s="192"/>
      <c r="L199" s="192"/>
      <c r="M199" s="75"/>
      <c r="N199" s="2"/>
      <c r="O199" s="2"/>
      <c r="P199" s="2"/>
      <c r="Q199" s="2"/>
      <c r="R199" s="2"/>
    </row>
    <row r="200" spans="1:18" x14ac:dyDescent="0.2">
      <c r="A200" s="2"/>
      <c r="B200" s="2"/>
      <c r="C200" s="74"/>
      <c r="D200" s="74"/>
      <c r="E200" s="74"/>
      <c r="F200" s="74"/>
      <c r="G200" s="74"/>
      <c r="H200" s="74"/>
      <c r="I200" s="74"/>
      <c r="J200" s="74"/>
      <c r="K200" s="192"/>
      <c r="L200" s="192"/>
      <c r="M200" s="75"/>
      <c r="N200" s="2"/>
      <c r="O200" s="2"/>
      <c r="P200" s="2"/>
      <c r="Q200" s="2"/>
      <c r="R200" s="2"/>
    </row>
    <row r="201" spans="1:18" x14ac:dyDescent="0.2">
      <c r="A201" s="2"/>
      <c r="B201" s="2"/>
      <c r="C201" s="74"/>
      <c r="D201" s="74"/>
      <c r="E201" s="74"/>
      <c r="F201" s="74"/>
      <c r="G201" s="74"/>
      <c r="H201" s="74"/>
      <c r="I201" s="74"/>
      <c r="J201" s="74"/>
      <c r="K201" s="192"/>
      <c r="L201" s="192"/>
      <c r="M201" s="75"/>
      <c r="N201" s="2"/>
      <c r="O201" s="2"/>
      <c r="P201" s="2"/>
      <c r="Q201" s="2"/>
      <c r="R201" s="2"/>
    </row>
    <row r="202" spans="1:18" x14ac:dyDescent="0.2">
      <c r="A202" s="2"/>
      <c r="B202" s="2"/>
      <c r="C202" s="74"/>
      <c r="D202" s="74"/>
      <c r="E202" s="74"/>
      <c r="F202" s="74"/>
      <c r="G202" s="74"/>
      <c r="H202" s="74"/>
      <c r="I202" s="74"/>
      <c r="J202" s="74"/>
      <c r="K202" s="192"/>
      <c r="L202" s="192"/>
      <c r="M202" s="75"/>
      <c r="N202" s="2"/>
      <c r="O202" s="2"/>
      <c r="P202" s="2"/>
      <c r="Q202" s="2"/>
      <c r="R202" s="2"/>
    </row>
    <row r="203" spans="1:18" x14ac:dyDescent="0.2">
      <c r="A203" s="2"/>
      <c r="B203" s="2"/>
      <c r="C203" s="74"/>
      <c r="D203" s="74"/>
      <c r="E203" s="74"/>
      <c r="F203" s="74"/>
      <c r="G203" s="74"/>
      <c r="H203" s="74"/>
      <c r="I203" s="74"/>
      <c r="J203" s="74"/>
      <c r="K203" s="192"/>
      <c r="L203" s="192"/>
      <c r="M203" s="75"/>
      <c r="N203" s="2"/>
      <c r="O203" s="2"/>
      <c r="P203" s="2"/>
      <c r="Q203" s="2"/>
      <c r="R203" s="2"/>
    </row>
    <row r="204" spans="1:18" x14ac:dyDescent="0.2">
      <c r="A204" s="2"/>
      <c r="B204" s="2"/>
      <c r="C204" s="74"/>
      <c r="D204" s="74"/>
      <c r="E204" s="74"/>
      <c r="F204" s="74"/>
      <c r="G204" s="74"/>
      <c r="H204" s="74"/>
      <c r="I204" s="74"/>
      <c r="J204" s="74"/>
      <c r="K204" s="192"/>
      <c r="L204" s="192"/>
      <c r="M204" s="75"/>
      <c r="N204" s="2"/>
      <c r="O204" s="2"/>
      <c r="P204" s="2"/>
      <c r="Q204" s="2"/>
      <c r="R204" s="2"/>
    </row>
    <row r="205" spans="1:18" x14ac:dyDescent="0.2">
      <c r="A205" s="2"/>
      <c r="B205" s="2"/>
      <c r="C205" s="74"/>
      <c r="D205" s="74"/>
      <c r="E205" s="74"/>
      <c r="F205" s="74"/>
      <c r="G205" s="74"/>
      <c r="H205" s="74"/>
      <c r="I205" s="74"/>
      <c r="J205" s="74"/>
      <c r="K205" s="192"/>
      <c r="L205" s="192"/>
      <c r="M205" s="75"/>
      <c r="N205" s="2"/>
      <c r="O205" s="2"/>
      <c r="P205" s="2"/>
      <c r="Q205" s="2"/>
      <c r="R205" s="2"/>
    </row>
    <row r="206" spans="1:18" x14ac:dyDescent="0.2">
      <c r="A206" s="2"/>
      <c r="B206" s="2"/>
      <c r="C206" s="74"/>
      <c r="D206" s="74"/>
      <c r="E206" s="74"/>
      <c r="F206" s="74"/>
      <c r="G206" s="74"/>
      <c r="H206" s="74"/>
      <c r="I206" s="74"/>
      <c r="J206" s="74"/>
      <c r="K206" s="192"/>
      <c r="L206" s="192"/>
      <c r="M206" s="75"/>
      <c r="N206" s="2"/>
      <c r="O206" s="2"/>
      <c r="P206" s="2"/>
      <c r="Q206" s="2"/>
      <c r="R206" s="2"/>
    </row>
    <row r="207" spans="1:18" x14ac:dyDescent="0.2">
      <c r="A207" s="2"/>
      <c r="B207" s="2"/>
      <c r="C207" s="74"/>
      <c r="D207" s="74"/>
      <c r="E207" s="74"/>
      <c r="F207" s="74"/>
      <c r="G207" s="74"/>
      <c r="H207" s="74"/>
      <c r="I207" s="74"/>
      <c r="J207" s="74"/>
      <c r="K207" s="192"/>
      <c r="L207" s="192"/>
      <c r="M207" s="75"/>
      <c r="N207" s="2"/>
      <c r="O207" s="2"/>
      <c r="P207" s="2"/>
      <c r="Q207" s="2"/>
      <c r="R207" s="2"/>
    </row>
    <row r="208" spans="1:18" x14ac:dyDescent="0.2">
      <c r="A208" s="2"/>
      <c r="B208" s="2"/>
      <c r="C208" s="74"/>
      <c r="D208" s="74"/>
      <c r="E208" s="74"/>
      <c r="F208" s="74"/>
      <c r="G208" s="74"/>
      <c r="H208" s="74"/>
      <c r="I208" s="74"/>
      <c r="J208" s="74"/>
      <c r="K208" s="192"/>
      <c r="L208" s="192"/>
      <c r="M208" s="75"/>
      <c r="N208" s="2"/>
      <c r="O208" s="2"/>
      <c r="P208" s="2"/>
      <c r="Q208" s="2"/>
      <c r="R208" s="2"/>
    </row>
    <row r="209" spans="1:18" x14ac:dyDescent="0.2">
      <c r="A209" s="2"/>
      <c r="B209" s="2"/>
      <c r="C209" s="74"/>
      <c r="D209" s="74"/>
      <c r="E209" s="74"/>
      <c r="F209" s="74"/>
      <c r="G209" s="74"/>
      <c r="H209" s="74"/>
      <c r="I209" s="74"/>
      <c r="J209" s="74"/>
      <c r="K209" s="192"/>
      <c r="L209" s="192"/>
      <c r="M209" s="75"/>
      <c r="N209" s="2"/>
      <c r="O209" s="2"/>
      <c r="P209" s="2"/>
      <c r="Q209" s="2"/>
      <c r="R209" s="2"/>
    </row>
    <row r="210" spans="1:18" x14ac:dyDescent="0.2">
      <c r="A210" s="2"/>
      <c r="B210" s="2"/>
      <c r="C210" s="74"/>
      <c r="D210" s="74"/>
      <c r="E210" s="74"/>
      <c r="F210" s="74"/>
      <c r="G210" s="74"/>
      <c r="H210" s="74"/>
      <c r="I210" s="74"/>
      <c r="J210" s="74"/>
      <c r="K210" s="192"/>
      <c r="L210" s="192"/>
      <c r="M210" s="75"/>
      <c r="N210" s="2"/>
      <c r="O210" s="2"/>
      <c r="P210" s="2"/>
      <c r="Q210" s="2"/>
      <c r="R210" s="2"/>
    </row>
    <row r="211" spans="1:18" x14ac:dyDescent="0.2">
      <c r="A211" s="2"/>
      <c r="B211" s="2"/>
      <c r="C211" s="74"/>
      <c r="D211" s="74"/>
      <c r="E211" s="74"/>
      <c r="F211" s="74"/>
      <c r="G211" s="74"/>
      <c r="H211" s="74"/>
      <c r="I211" s="74"/>
      <c r="J211" s="74"/>
      <c r="K211" s="192"/>
      <c r="L211" s="192"/>
      <c r="M211" s="75"/>
      <c r="N211" s="2"/>
      <c r="O211" s="2"/>
      <c r="P211" s="2"/>
      <c r="Q211" s="2"/>
      <c r="R211" s="2"/>
    </row>
    <row r="212" spans="1:18" x14ac:dyDescent="0.2">
      <c r="A212" s="2"/>
      <c r="B212" s="2"/>
      <c r="C212" s="74"/>
      <c r="D212" s="74"/>
      <c r="E212" s="74"/>
      <c r="F212" s="74"/>
      <c r="G212" s="74"/>
      <c r="H212" s="74"/>
      <c r="I212" s="74"/>
      <c r="J212" s="74"/>
      <c r="K212" s="192"/>
      <c r="L212" s="192"/>
      <c r="M212" s="75"/>
      <c r="N212" s="2"/>
      <c r="O212" s="2"/>
      <c r="P212" s="2"/>
      <c r="Q212" s="2"/>
      <c r="R212" s="2"/>
    </row>
    <row r="213" spans="1:18" x14ac:dyDescent="0.2">
      <c r="A213" s="2"/>
      <c r="B213" s="2"/>
      <c r="C213" s="74"/>
      <c r="D213" s="74"/>
      <c r="E213" s="74"/>
      <c r="F213" s="74"/>
      <c r="G213" s="74"/>
      <c r="H213" s="74"/>
      <c r="I213" s="74"/>
      <c r="J213" s="74"/>
      <c r="K213" s="192"/>
      <c r="L213" s="192"/>
      <c r="M213" s="75"/>
      <c r="N213" s="2"/>
      <c r="O213" s="2"/>
      <c r="P213" s="2"/>
      <c r="Q213" s="2"/>
      <c r="R213" s="2"/>
    </row>
    <row r="214" spans="1:18" x14ac:dyDescent="0.2">
      <c r="A214" s="2"/>
      <c r="B214" s="2"/>
      <c r="C214" s="74"/>
      <c r="D214" s="74"/>
      <c r="E214" s="74"/>
      <c r="F214" s="74"/>
      <c r="G214" s="74"/>
      <c r="H214" s="74"/>
      <c r="I214" s="74"/>
      <c r="J214" s="74"/>
      <c r="K214" s="192"/>
      <c r="L214" s="192"/>
      <c r="M214" s="75"/>
      <c r="N214" s="2"/>
      <c r="O214" s="2"/>
      <c r="P214" s="2"/>
      <c r="Q214" s="2"/>
      <c r="R214" s="2"/>
    </row>
    <row r="215" spans="1:18" x14ac:dyDescent="0.2">
      <c r="A215" s="2"/>
      <c r="B215" s="2"/>
      <c r="C215" s="74"/>
      <c r="D215" s="74"/>
      <c r="E215" s="74"/>
      <c r="F215" s="74"/>
      <c r="G215" s="74"/>
      <c r="H215" s="74"/>
      <c r="I215" s="74"/>
      <c r="J215" s="74"/>
      <c r="K215" s="192"/>
      <c r="L215" s="192"/>
      <c r="M215" s="75"/>
      <c r="N215" s="2"/>
      <c r="O215" s="2"/>
      <c r="P215" s="2"/>
      <c r="Q215" s="2"/>
      <c r="R215" s="2"/>
    </row>
    <row r="216" spans="1:18" x14ac:dyDescent="0.2">
      <c r="A216" s="2"/>
      <c r="B216" s="2"/>
      <c r="C216" s="74"/>
      <c r="D216" s="74"/>
      <c r="E216" s="74"/>
      <c r="F216" s="74"/>
      <c r="G216" s="74"/>
      <c r="H216" s="74"/>
      <c r="I216" s="74"/>
      <c r="J216" s="74"/>
      <c r="K216" s="192"/>
      <c r="L216" s="192"/>
      <c r="M216" s="75"/>
      <c r="N216" s="2"/>
      <c r="O216" s="2"/>
      <c r="P216" s="2"/>
      <c r="Q216" s="2"/>
      <c r="R216" s="2"/>
    </row>
    <row r="217" spans="1:18" x14ac:dyDescent="0.2">
      <c r="A217" s="2"/>
      <c r="B217" s="2"/>
      <c r="C217" s="74"/>
      <c r="D217" s="74"/>
      <c r="E217" s="74"/>
      <c r="F217" s="74"/>
      <c r="G217" s="74"/>
      <c r="H217" s="74"/>
      <c r="I217" s="74"/>
      <c r="J217" s="74"/>
      <c r="K217" s="192"/>
      <c r="L217" s="192"/>
      <c r="M217" s="75"/>
      <c r="N217" s="2"/>
      <c r="O217" s="2"/>
      <c r="P217" s="2"/>
      <c r="Q217" s="2"/>
      <c r="R217" s="2"/>
    </row>
    <row r="218" spans="1:18" x14ac:dyDescent="0.2">
      <c r="A218" s="2"/>
      <c r="B218" s="2"/>
      <c r="C218" s="74"/>
      <c r="D218" s="74"/>
      <c r="E218" s="74"/>
      <c r="F218" s="74"/>
      <c r="G218" s="74"/>
      <c r="H218" s="74"/>
      <c r="I218" s="74"/>
      <c r="J218" s="74"/>
      <c r="K218" s="192"/>
      <c r="L218" s="192"/>
      <c r="M218" s="75"/>
      <c r="N218" s="2"/>
      <c r="O218" s="2"/>
      <c r="P218" s="2"/>
      <c r="Q218" s="2"/>
      <c r="R218" s="2"/>
    </row>
    <row r="219" spans="1:18" x14ac:dyDescent="0.2">
      <c r="A219" s="2"/>
      <c r="B219" s="2"/>
      <c r="C219" s="74"/>
      <c r="D219" s="74"/>
      <c r="E219" s="74"/>
      <c r="F219" s="74"/>
      <c r="G219" s="74"/>
      <c r="H219" s="74"/>
      <c r="I219" s="74"/>
      <c r="J219" s="74"/>
      <c r="K219" s="192"/>
      <c r="L219" s="192"/>
      <c r="M219" s="75"/>
      <c r="N219" s="2"/>
      <c r="O219" s="2"/>
      <c r="P219" s="2"/>
      <c r="Q219" s="2"/>
      <c r="R219" s="2"/>
    </row>
    <row r="220" spans="1:18" x14ac:dyDescent="0.2">
      <c r="A220" s="2"/>
      <c r="B220" s="2"/>
      <c r="C220" s="74"/>
      <c r="D220" s="74"/>
      <c r="E220" s="74"/>
      <c r="F220" s="74"/>
      <c r="G220" s="74"/>
      <c r="H220" s="74"/>
      <c r="I220" s="74"/>
      <c r="J220" s="74"/>
      <c r="K220" s="192"/>
      <c r="L220" s="192"/>
      <c r="M220" s="75"/>
      <c r="N220" s="2"/>
      <c r="O220" s="2"/>
      <c r="P220" s="2"/>
      <c r="Q220" s="2"/>
      <c r="R220" s="2"/>
    </row>
    <row r="221" spans="1:18" x14ac:dyDescent="0.2">
      <c r="A221" s="2"/>
      <c r="B221" s="2"/>
      <c r="C221" s="74"/>
      <c r="D221" s="74"/>
      <c r="E221" s="74"/>
      <c r="F221" s="74"/>
      <c r="G221" s="74"/>
      <c r="H221" s="74"/>
      <c r="I221" s="74"/>
      <c r="J221" s="74"/>
      <c r="K221" s="192"/>
      <c r="L221" s="192"/>
      <c r="M221" s="75"/>
      <c r="N221" s="2"/>
      <c r="O221" s="2"/>
      <c r="P221" s="2"/>
      <c r="Q221" s="2"/>
      <c r="R221" s="2"/>
    </row>
    <row r="222" spans="1:18" x14ac:dyDescent="0.2">
      <c r="A222" s="2"/>
      <c r="B222" s="2"/>
      <c r="C222" s="74"/>
      <c r="D222" s="74"/>
      <c r="E222" s="74"/>
      <c r="F222" s="74"/>
      <c r="G222" s="74"/>
      <c r="H222" s="74"/>
      <c r="I222" s="74"/>
      <c r="J222" s="74"/>
      <c r="K222" s="192"/>
      <c r="L222" s="192"/>
      <c r="M222" s="75"/>
      <c r="N222" s="2"/>
      <c r="O222" s="2"/>
      <c r="P222" s="2"/>
      <c r="Q222" s="2"/>
      <c r="R222" s="2"/>
    </row>
    <row r="223" spans="1:18" x14ac:dyDescent="0.2">
      <c r="A223" s="2"/>
      <c r="B223" s="2"/>
      <c r="C223" s="74"/>
      <c r="D223" s="74"/>
      <c r="E223" s="74"/>
      <c r="F223" s="74"/>
      <c r="G223" s="74"/>
      <c r="H223" s="74"/>
      <c r="I223" s="74"/>
      <c r="J223" s="74"/>
      <c r="K223" s="192"/>
      <c r="L223" s="192"/>
      <c r="M223" s="75"/>
      <c r="N223" s="2"/>
      <c r="O223" s="2"/>
      <c r="P223" s="2"/>
      <c r="Q223" s="2"/>
      <c r="R223" s="2"/>
    </row>
    <row r="224" spans="1:18" x14ac:dyDescent="0.2">
      <c r="A224" s="2"/>
      <c r="B224" s="2"/>
      <c r="C224" s="74"/>
      <c r="D224" s="74"/>
      <c r="E224" s="74"/>
      <c r="F224" s="74"/>
      <c r="G224" s="74"/>
      <c r="H224" s="74"/>
      <c r="I224" s="74"/>
      <c r="J224" s="74"/>
      <c r="K224" s="192"/>
      <c r="L224" s="192"/>
      <c r="M224" s="75"/>
      <c r="N224" s="2"/>
      <c r="O224" s="2"/>
      <c r="P224" s="2"/>
      <c r="Q224" s="2"/>
      <c r="R224" s="2"/>
    </row>
    <row r="225" spans="1:18" x14ac:dyDescent="0.2">
      <c r="A225" s="2"/>
      <c r="B225" s="2"/>
      <c r="C225" s="74"/>
      <c r="D225" s="74"/>
      <c r="E225" s="74"/>
      <c r="F225" s="74"/>
      <c r="G225" s="74"/>
      <c r="H225" s="74"/>
      <c r="I225" s="74"/>
      <c r="J225" s="74"/>
      <c r="K225" s="192"/>
      <c r="L225" s="192"/>
      <c r="M225" s="75"/>
      <c r="N225" s="2"/>
      <c r="O225" s="2"/>
      <c r="P225" s="2"/>
      <c r="Q225" s="2"/>
      <c r="R225" s="2"/>
    </row>
    <row r="226" spans="1:18" x14ac:dyDescent="0.2">
      <c r="A226" s="2"/>
      <c r="B226" s="2"/>
      <c r="C226" s="74"/>
      <c r="D226" s="74"/>
      <c r="E226" s="74"/>
      <c r="F226" s="74"/>
      <c r="G226" s="74"/>
      <c r="H226" s="74"/>
      <c r="I226" s="74"/>
      <c r="J226" s="74"/>
      <c r="K226" s="192"/>
      <c r="L226" s="192"/>
      <c r="M226" s="75"/>
      <c r="N226" s="2"/>
      <c r="O226" s="2"/>
      <c r="P226" s="2"/>
      <c r="Q226" s="2"/>
      <c r="R226" s="2"/>
    </row>
    <row r="227" spans="1:18" x14ac:dyDescent="0.2">
      <c r="A227" s="2"/>
      <c r="B227" s="2"/>
      <c r="C227" s="74"/>
      <c r="D227" s="74"/>
      <c r="E227" s="74"/>
      <c r="F227" s="74"/>
      <c r="G227" s="74"/>
      <c r="H227" s="74"/>
      <c r="I227" s="74"/>
      <c r="J227" s="74"/>
      <c r="K227" s="192"/>
      <c r="L227" s="192"/>
      <c r="M227" s="75"/>
      <c r="N227" s="2"/>
      <c r="O227" s="2"/>
      <c r="P227" s="2"/>
      <c r="Q227" s="2"/>
      <c r="R227" s="2"/>
    </row>
    <row r="228" spans="1:18" x14ac:dyDescent="0.2">
      <c r="A228" s="2"/>
      <c r="B228" s="2"/>
      <c r="C228" s="74"/>
      <c r="D228" s="74"/>
      <c r="E228" s="74"/>
      <c r="F228" s="74"/>
      <c r="G228" s="74"/>
      <c r="H228" s="74"/>
      <c r="I228" s="74"/>
      <c r="J228" s="74"/>
      <c r="K228" s="192"/>
      <c r="L228" s="192"/>
      <c r="M228" s="75"/>
      <c r="N228" s="2"/>
      <c r="O228" s="2"/>
      <c r="P228" s="2"/>
      <c r="Q228" s="2"/>
      <c r="R228" s="2"/>
    </row>
    <row r="229" spans="1:18" x14ac:dyDescent="0.2">
      <c r="A229" s="2"/>
      <c r="B229" s="2"/>
      <c r="C229" s="74"/>
      <c r="D229" s="74"/>
      <c r="E229" s="74"/>
      <c r="F229" s="74"/>
      <c r="G229" s="74"/>
      <c r="H229" s="74"/>
      <c r="I229" s="74"/>
      <c r="J229" s="74"/>
      <c r="K229" s="192"/>
      <c r="L229" s="192"/>
      <c r="M229" s="75"/>
      <c r="N229" s="2"/>
      <c r="O229" s="2"/>
      <c r="P229" s="2"/>
      <c r="Q229" s="2"/>
      <c r="R229" s="2"/>
    </row>
    <row r="230" spans="1:18" x14ac:dyDescent="0.2">
      <c r="A230" s="2"/>
      <c r="B230" s="2"/>
      <c r="C230" s="74"/>
      <c r="D230" s="74"/>
      <c r="E230" s="74"/>
      <c r="F230" s="74"/>
      <c r="G230" s="74"/>
      <c r="H230" s="74"/>
      <c r="I230" s="74"/>
      <c r="J230" s="74"/>
      <c r="K230" s="192"/>
      <c r="L230" s="192"/>
      <c r="M230" s="75"/>
      <c r="N230" s="2"/>
      <c r="O230" s="2"/>
      <c r="P230" s="2"/>
      <c r="Q230" s="2"/>
      <c r="R230" s="2"/>
    </row>
    <row r="231" spans="1:18" x14ac:dyDescent="0.2">
      <c r="A231" s="2"/>
      <c r="B231" s="2"/>
      <c r="C231" s="74"/>
      <c r="D231" s="74"/>
      <c r="E231" s="74"/>
      <c r="F231" s="74"/>
      <c r="G231" s="74"/>
      <c r="H231" s="74"/>
      <c r="I231" s="74"/>
      <c r="J231" s="74"/>
      <c r="K231" s="192"/>
      <c r="L231" s="192"/>
      <c r="M231" s="75"/>
      <c r="N231" s="2"/>
      <c r="O231" s="2"/>
      <c r="P231" s="2"/>
      <c r="Q231" s="2"/>
      <c r="R231" s="2"/>
    </row>
    <row r="232" spans="1:18" x14ac:dyDescent="0.2">
      <c r="A232" s="2"/>
      <c r="B232" s="2"/>
      <c r="C232" s="74"/>
      <c r="D232" s="74"/>
      <c r="E232" s="74"/>
      <c r="F232" s="74"/>
      <c r="G232" s="74"/>
      <c r="H232" s="74"/>
      <c r="I232" s="74"/>
      <c r="J232" s="74"/>
      <c r="K232" s="192"/>
      <c r="L232" s="192"/>
      <c r="M232" s="75"/>
      <c r="N232" s="2"/>
      <c r="O232" s="2"/>
      <c r="P232" s="2"/>
      <c r="Q232" s="2"/>
      <c r="R232" s="2"/>
    </row>
    <row r="233" spans="1:18" x14ac:dyDescent="0.2">
      <c r="A233" s="2"/>
      <c r="B233" s="2"/>
      <c r="C233" s="74"/>
      <c r="D233" s="74"/>
      <c r="E233" s="74"/>
      <c r="F233" s="74"/>
      <c r="G233" s="74"/>
      <c r="H233" s="74"/>
      <c r="I233" s="74"/>
      <c r="J233" s="74"/>
      <c r="K233" s="192"/>
      <c r="L233" s="192"/>
      <c r="M233" s="75"/>
      <c r="N233" s="2"/>
      <c r="O233" s="2"/>
      <c r="P233" s="2"/>
      <c r="Q233" s="2"/>
      <c r="R233" s="2"/>
    </row>
    <row r="234" spans="1:18" x14ac:dyDescent="0.2">
      <c r="A234" s="2"/>
      <c r="B234" s="2"/>
      <c r="C234" s="74"/>
      <c r="D234" s="74"/>
      <c r="E234" s="74"/>
      <c r="F234" s="74"/>
      <c r="G234" s="74"/>
      <c r="H234" s="74"/>
      <c r="I234" s="74"/>
      <c r="J234" s="74"/>
      <c r="K234" s="192"/>
      <c r="L234" s="192"/>
      <c r="M234" s="75"/>
      <c r="N234" s="2"/>
      <c r="O234" s="2"/>
      <c r="P234" s="2"/>
      <c r="Q234" s="2"/>
      <c r="R234" s="2"/>
    </row>
    <row r="235" spans="1:18" x14ac:dyDescent="0.2">
      <c r="A235" s="2"/>
      <c r="B235" s="2"/>
      <c r="C235" s="74"/>
      <c r="D235" s="74"/>
      <c r="E235" s="74"/>
      <c r="F235" s="74"/>
      <c r="G235" s="74"/>
      <c r="H235" s="74"/>
      <c r="I235" s="74"/>
      <c r="J235" s="74"/>
      <c r="K235" s="192"/>
      <c r="L235" s="192"/>
      <c r="M235" s="75"/>
      <c r="N235" s="2"/>
      <c r="O235" s="2"/>
      <c r="P235" s="2"/>
      <c r="Q235" s="2"/>
      <c r="R235" s="2"/>
    </row>
    <row r="236" spans="1:18" x14ac:dyDescent="0.2">
      <c r="A236" s="2"/>
      <c r="B236" s="2"/>
      <c r="C236" s="74"/>
      <c r="D236" s="74"/>
      <c r="E236" s="74"/>
      <c r="F236" s="74"/>
      <c r="G236" s="74"/>
      <c r="H236" s="74"/>
      <c r="I236" s="74"/>
      <c r="J236" s="74"/>
      <c r="K236" s="192"/>
      <c r="L236" s="192"/>
      <c r="M236" s="75"/>
      <c r="N236" s="2"/>
      <c r="O236" s="2"/>
      <c r="P236" s="2"/>
      <c r="Q236" s="2"/>
      <c r="R236" s="2"/>
    </row>
    <row r="237" spans="1:18" x14ac:dyDescent="0.2">
      <c r="A237" s="2"/>
      <c r="B237" s="2"/>
      <c r="C237" s="74"/>
      <c r="D237" s="74"/>
      <c r="E237" s="74"/>
      <c r="F237" s="74"/>
      <c r="G237" s="74"/>
      <c r="H237" s="74"/>
      <c r="I237" s="74"/>
      <c r="J237" s="74"/>
      <c r="K237" s="192"/>
      <c r="L237" s="192"/>
      <c r="M237" s="75"/>
      <c r="N237" s="2"/>
      <c r="O237" s="2"/>
      <c r="P237" s="2"/>
      <c r="Q237" s="2"/>
      <c r="R237" s="2"/>
    </row>
    <row r="238" spans="1:18" x14ac:dyDescent="0.2">
      <c r="A238" s="2"/>
      <c r="B238" s="2"/>
      <c r="C238" s="74"/>
      <c r="D238" s="74"/>
      <c r="E238" s="74"/>
      <c r="F238" s="74"/>
      <c r="G238" s="74"/>
      <c r="H238" s="74"/>
      <c r="I238" s="74"/>
      <c r="J238" s="74"/>
      <c r="K238" s="192"/>
      <c r="L238" s="192"/>
      <c r="M238" s="75"/>
      <c r="N238" s="2"/>
      <c r="O238" s="2"/>
      <c r="P238" s="2"/>
      <c r="Q238" s="2"/>
      <c r="R238" s="2"/>
    </row>
    <row r="239" spans="1:18" x14ac:dyDescent="0.2">
      <c r="A239" s="2"/>
      <c r="B239" s="2"/>
      <c r="C239" s="74"/>
      <c r="D239" s="74"/>
      <c r="E239" s="74"/>
      <c r="F239" s="74"/>
      <c r="G239" s="74"/>
      <c r="H239" s="74"/>
      <c r="I239" s="74"/>
      <c r="J239" s="74"/>
      <c r="K239" s="192"/>
      <c r="L239" s="192"/>
      <c r="M239" s="75"/>
      <c r="N239" s="2"/>
      <c r="O239" s="2"/>
      <c r="P239" s="2"/>
      <c r="Q239" s="2"/>
      <c r="R239" s="2"/>
    </row>
    <row r="240" spans="1:18" x14ac:dyDescent="0.2">
      <c r="A240" s="2"/>
      <c r="B240" s="2"/>
      <c r="C240" s="74"/>
      <c r="D240" s="74"/>
      <c r="E240" s="74"/>
      <c r="F240" s="74"/>
      <c r="G240" s="74"/>
      <c r="H240" s="74"/>
      <c r="I240" s="74"/>
      <c r="J240" s="74"/>
      <c r="K240" s="192"/>
      <c r="L240" s="192"/>
      <c r="M240" s="75"/>
      <c r="N240" s="2"/>
      <c r="O240" s="2"/>
      <c r="P240" s="2"/>
      <c r="Q240" s="2"/>
      <c r="R240" s="2"/>
    </row>
    <row r="241" spans="1:18" x14ac:dyDescent="0.2">
      <c r="A241" s="2"/>
      <c r="B241" s="2"/>
      <c r="C241" s="74"/>
      <c r="D241" s="74"/>
      <c r="E241" s="74"/>
      <c r="F241" s="74"/>
      <c r="G241" s="74"/>
      <c r="H241" s="74"/>
      <c r="I241" s="74"/>
      <c r="J241" s="74"/>
      <c r="K241" s="192"/>
      <c r="L241" s="192"/>
      <c r="M241" s="75"/>
      <c r="N241" s="2"/>
      <c r="O241" s="2"/>
      <c r="P241" s="2"/>
      <c r="Q241" s="2"/>
      <c r="R241" s="2"/>
    </row>
    <row r="242" spans="1:18" x14ac:dyDescent="0.2">
      <c r="A242" s="2"/>
      <c r="B242" s="2"/>
      <c r="C242" s="74"/>
      <c r="D242" s="74"/>
      <c r="E242" s="74"/>
      <c r="F242" s="74"/>
      <c r="G242" s="74"/>
      <c r="H242" s="74"/>
      <c r="I242" s="74"/>
      <c r="J242" s="74"/>
      <c r="K242" s="192"/>
      <c r="L242" s="192"/>
      <c r="M242" s="75"/>
      <c r="N242" s="2"/>
      <c r="O242" s="2"/>
      <c r="P242" s="2"/>
      <c r="Q242" s="2"/>
      <c r="R242" s="2"/>
    </row>
    <row r="243" spans="1:18" x14ac:dyDescent="0.2">
      <c r="A243" s="2"/>
      <c r="B243" s="2"/>
      <c r="C243" s="74"/>
      <c r="D243" s="74"/>
      <c r="E243" s="74"/>
      <c r="F243" s="74"/>
      <c r="G243" s="74"/>
      <c r="H243" s="74"/>
      <c r="I243" s="74"/>
      <c r="J243" s="74"/>
      <c r="K243" s="192"/>
      <c r="L243" s="192"/>
      <c r="M243" s="75"/>
      <c r="N243" s="2"/>
      <c r="O243" s="2"/>
      <c r="P243" s="2"/>
      <c r="Q243" s="2"/>
      <c r="R243" s="2"/>
    </row>
    <row r="244" spans="1:18" x14ac:dyDescent="0.2">
      <c r="A244" s="2"/>
      <c r="B244" s="2"/>
      <c r="C244" s="74"/>
      <c r="D244" s="74"/>
      <c r="E244" s="74"/>
      <c r="F244" s="74"/>
      <c r="G244" s="74"/>
      <c r="H244" s="74"/>
      <c r="I244" s="74"/>
      <c r="J244" s="74"/>
      <c r="K244" s="192"/>
      <c r="L244" s="192"/>
      <c r="M244" s="75"/>
      <c r="N244" s="2"/>
      <c r="O244" s="2"/>
      <c r="P244" s="2"/>
      <c r="Q244" s="2"/>
      <c r="R244" s="2"/>
    </row>
    <row r="245" spans="1:18" x14ac:dyDescent="0.2">
      <c r="A245" s="2"/>
      <c r="B245" s="2"/>
      <c r="C245" s="74"/>
      <c r="D245" s="74"/>
      <c r="E245" s="74"/>
      <c r="F245" s="74"/>
      <c r="G245" s="74"/>
      <c r="H245" s="74"/>
      <c r="I245" s="74"/>
      <c r="J245" s="74"/>
      <c r="K245" s="192"/>
      <c r="L245" s="192"/>
      <c r="M245" s="75"/>
      <c r="N245" s="2"/>
      <c r="O245" s="2"/>
      <c r="P245" s="2"/>
      <c r="Q245" s="2"/>
      <c r="R245" s="2"/>
    </row>
    <row r="246" spans="1:18" x14ac:dyDescent="0.2">
      <c r="A246" s="2"/>
      <c r="B246" s="2"/>
      <c r="C246" s="74"/>
      <c r="D246" s="74"/>
      <c r="E246" s="74"/>
      <c r="F246" s="74"/>
      <c r="G246" s="74"/>
      <c r="H246" s="74"/>
      <c r="I246" s="74"/>
      <c r="J246" s="74"/>
      <c r="K246" s="192"/>
      <c r="L246" s="192"/>
      <c r="M246" s="75"/>
      <c r="N246" s="2"/>
      <c r="O246" s="2"/>
      <c r="P246" s="2"/>
      <c r="Q246" s="2"/>
      <c r="R246" s="2"/>
    </row>
    <row r="247" spans="1:18" x14ac:dyDescent="0.2">
      <c r="A247" s="2"/>
      <c r="B247" s="2"/>
      <c r="C247" s="74"/>
      <c r="D247" s="74"/>
      <c r="E247" s="74"/>
      <c r="F247" s="74"/>
      <c r="G247" s="74"/>
      <c r="H247" s="74"/>
      <c r="I247" s="74"/>
      <c r="J247" s="74"/>
      <c r="K247" s="192"/>
      <c r="L247" s="192"/>
      <c r="M247" s="75"/>
      <c r="N247" s="2"/>
      <c r="O247" s="2"/>
      <c r="P247" s="2"/>
      <c r="Q247" s="2"/>
      <c r="R247" s="2"/>
    </row>
    <row r="248" spans="1:18" x14ac:dyDescent="0.2">
      <c r="A248" s="2"/>
      <c r="B248" s="2"/>
      <c r="C248" s="74"/>
      <c r="D248" s="74"/>
      <c r="E248" s="74"/>
      <c r="F248" s="74"/>
      <c r="G248" s="74"/>
      <c r="H248" s="74"/>
      <c r="I248" s="74"/>
      <c r="J248" s="74"/>
      <c r="K248" s="192"/>
      <c r="L248" s="192"/>
      <c r="M248" s="75"/>
      <c r="N248" s="2"/>
      <c r="O248" s="2"/>
      <c r="P248" s="2"/>
      <c r="Q248" s="2"/>
      <c r="R248" s="2"/>
    </row>
    <row r="249" spans="1:18" x14ac:dyDescent="0.2">
      <c r="A249" s="2"/>
      <c r="B249" s="2"/>
      <c r="C249" s="74"/>
      <c r="D249" s="74"/>
      <c r="E249" s="74"/>
      <c r="F249" s="74"/>
      <c r="G249" s="74"/>
      <c r="H249" s="74"/>
      <c r="I249" s="74"/>
      <c r="J249" s="74"/>
      <c r="K249" s="192"/>
      <c r="L249" s="192"/>
      <c r="M249" s="75"/>
      <c r="N249" s="2"/>
      <c r="O249" s="2"/>
      <c r="P249" s="2"/>
      <c r="Q249" s="2"/>
      <c r="R249" s="2"/>
    </row>
    <row r="250" spans="1:18" x14ac:dyDescent="0.2">
      <c r="A250" s="2"/>
      <c r="B250" s="2"/>
      <c r="C250" s="74"/>
      <c r="D250" s="74"/>
      <c r="E250" s="74"/>
      <c r="F250" s="74"/>
      <c r="G250" s="74"/>
      <c r="H250" s="74"/>
      <c r="I250" s="74"/>
      <c r="J250" s="74"/>
      <c r="K250" s="192"/>
      <c r="L250" s="192"/>
      <c r="M250" s="75"/>
      <c r="N250" s="2"/>
      <c r="O250" s="2"/>
      <c r="P250" s="2"/>
      <c r="Q250" s="2"/>
      <c r="R250" s="2"/>
    </row>
    <row r="251" spans="1:18" x14ac:dyDescent="0.2">
      <c r="A251" s="2"/>
      <c r="B251" s="2"/>
      <c r="C251" s="74"/>
      <c r="D251" s="74"/>
      <c r="E251" s="74"/>
      <c r="F251" s="74"/>
      <c r="G251" s="74"/>
      <c r="H251" s="74"/>
      <c r="I251" s="74"/>
      <c r="J251" s="74"/>
      <c r="K251" s="192"/>
      <c r="L251" s="192"/>
      <c r="M251" s="75"/>
      <c r="N251" s="2"/>
      <c r="O251" s="2"/>
      <c r="P251" s="2"/>
      <c r="Q251" s="2"/>
      <c r="R251" s="2"/>
    </row>
    <row r="252" spans="1:18" x14ac:dyDescent="0.2">
      <c r="A252" s="2"/>
      <c r="B252" s="2"/>
      <c r="C252" s="74"/>
      <c r="D252" s="74"/>
      <c r="E252" s="74"/>
      <c r="F252" s="74"/>
      <c r="G252" s="74"/>
      <c r="H252" s="74"/>
      <c r="I252" s="74"/>
      <c r="J252" s="74"/>
      <c r="K252" s="192"/>
      <c r="L252" s="192"/>
      <c r="M252" s="75"/>
      <c r="N252" s="2"/>
      <c r="O252" s="2"/>
      <c r="P252" s="2"/>
      <c r="Q252" s="2"/>
      <c r="R252" s="2"/>
    </row>
    <row r="253" spans="1:18" x14ac:dyDescent="0.2">
      <c r="A253" s="2"/>
      <c r="B253" s="2"/>
      <c r="C253" s="74"/>
      <c r="D253" s="74"/>
      <c r="E253" s="74"/>
      <c r="F253" s="74"/>
      <c r="G253" s="74"/>
      <c r="H253" s="74"/>
      <c r="I253" s="74"/>
      <c r="J253" s="74"/>
      <c r="K253" s="192"/>
      <c r="L253" s="192"/>
      <c r="M253" s="75"/>
      <c r="N253" s="2"/>
      <c r="O253" s="2"/>
      <c r="P253" s="2"/>
      <c r="Q253" s="2"/>
      <c r="R253" s="2"/>
    </row>
    <row r="254" spans="1:18" x14ac:dyDescent="0.2">
      <c r="A254" s="2"/>
      <c r="B254" s="2"/>
      <c r="C254" s="74"/>
      <c r="D254" s="74"/>
      <c r="E254" s="74"/>
      <c r="F254" s="74"/>
      <c r="G254" s="74"/>
      <c r="H254" s="74"/>
      <c r="I254" s="74"/>
      <c r="J254" s="74"/>
      <c r="K254" s="192"/>
      <c r="L254" s="192"/>
      <c r="M254" s="75"/>
      <c r="N254" s="2"/>
      <c r="O254" s="2"/>
      <c r="P254" s="2"/>
      <c r="Q254" s="2"/>
      <c r="R254" s="2"/>
    </row>
    <row r="255" spans="1:18" x14ac:dyDescent="0.2">
      <c r="A255" s="2"/>
      <c r="B255" s="2"/>
      <c r="C255" s="74"/>
      <c r="D255" s="74"/>
      <c r="E255" s="74"/>
      <c r="F255" s="74"/>
      <c r="G255" s="74"/>
      <c r="H255" s="74"/>
      <c r="I255" s="74"/>
      <c r="J255" s="74"/>
      <c r="K255" s="192"/>
      <c r="L255" s="192"/>
      <c r="M255" s="75"/>
      <c r="N255" s="2"/>
      <c r="O255" s="2"/>
      <c r="P255" s="2"/>
      <c r="Q255" s="2"/>
      <c r="R255" s="2"/>
    </row>
    <row r="256" spans="1:18" x14ac:dyDescent="0.2">
      <c r="A256" s="2"/>
      <c r="B256" s="2"/>
      <c r="C256" s="74"/>
      <c r="D256" s="74"/>
      <c r="E256" s="74"/>
      <c r="F256" s="74"/>
      <c r="G256" s="74"/>
      <c r="H256" s="74"/>
      <c r="I256" s="74"/>
      <c r="J256" s="74"/>
      <c r="K256" s="192"/>
      <c r="L256" s="192"/>
      <c r="M256" s="75"/>
      <c r="N256" s="2"/>
      <c r="O256" s="2"/>
      <c r="P256" s="2"/>
      <c r="Q256" s="2"/>
      <c r="R256" s="2"/>
    </row>
    <row r="257" spans="1:18" x14ac:dyDescent="0.2">
      <c r="A257" s="2"/>
      <c r="B257" s="2"/>
      <c r="C257" s="74"/>
      <c r="D257" s="74"/>
      <c r="E257" s="74"/>
      <c r="F257" s="74"/>
      <c r="G257" s="74"/>
      <c r="H257" s="74"/>
      <c r="I257" s="74"/>
      <c r="J257" s="74"/>
      <c r="K257" s="192"/>
      <c r="L257" s="192"/>
      <c r="M257" s="75"/>
      <c r="N257" s="2"/>
      <c r="O257" s="2"/>
      <c r="P257" s="2"/>
      <c r="Q257" s="2"/>
      <c r="R257" s="2"/>
    </row>
    <row r="258" spans="1:18" x14ac:dyDescent="0.2">
      <c r="A258" s="2"/>
      <c r="B258" s="2"/>
      <c r="C258" s="74"/>
      <c r="D258" s="74"/>
      <c r="E258" s="74"/>
      <c r="F258" s="74"/>
      <c r="G258" s="74"/>
      <c r="H258" s="74"/>
      <c r="I258" s="74"/>
      <c r="J258" s="74"/>
      <c r="K258" s="192"/>
      <c r="L258" s="192"/>
      <c r="M258" s="75"/>
      <c r="N258" s="2"/>
      <c r="O258" s="2"/>
      <c r="P258" s="2"/>
      <c r="Q258" s="2"/>
      <c r="R258" s="2"/>
    </row>
    <row r="259" spans="1:18" x14ac:dyDescent="0.2">
      <c r="A259" s="2"/>
      <c r="B259" s="2"/>
      <c r="C259" s="74"/>
      <c r="D259" s="74"/>
      <c r="E259" s="74"/>
      <c r="F259" s="74"/>
      <c r="G259" s="74"/>
      <c r="H259" s="74"/>
      <c r="I259" s="74"/>
      <c r="J259" s="74"/>
      <c r="K259" s="192"/>
      <c r="L259" s="192"/>
      <c r="M259" s="75"/>
      <c r="N259" s="2"/>
      <c r="O259" s="2"/>
      <c r="P259" s="2"/>
      <c r="Q259" s="2"/>
      <c r="R259" s="2"/>
    </row>
    <row r="260" spans="1:18" x14ac:dyDescent="0.2">
      <c r="A260" s="2"/>
      <c r="B260" s="2"/>
      <c r="C260" s="74"/>
      <c r="D260" s="74"/>
      <c r="E260" s="74"/>
      <c r="F260" s="74"/>
      <c r="G260" s="74"/>
      <c r="H260" s="74"/>
      <c r="I260" s="74"/>
      <c r="J260" s="74"/>
      <c r="K260" s="192"/>
      <c r="L260" s="192"/>
      <c r="M260" s="75"/>
      <c r="N260" s="2"/>
      <c r="O260" s="2"/>
      <c r="P260" s="2"/>
      <c r="Q260" s="2"/>
      <c r="R260" s="2"/>
    </row>
    <row r="261" spans="1:18" x14ac:dyDescent="0.2">
      <c r="A261" s="2"/>
      <c r="B261" s="2"/>
      <c r="C261" s="74"/>
      <c r="D261" s="74"/>
      <c r="E261" s="74"/>
      <c r="F261" s="74"/>
      <c r="G261" s="74"/>
      <c r="H261" s="74"/>
      <c r="I261" s="74"/>
      <c r="J261" s="74"/>
      <c r="K261" s="192"/>
      <c r="L261" s="192"/>
      <c r="M261" s="75"/>
      <c r="N261" s="2"/>
      <c r="O261" s="2"/>
      <c r="P261" s="2"/>
      <c r="Q261" s="2"/>
      <c r="R261" s="2"/>
    </row>
    <row r="262" spans="1:18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192"/>
      <c r="L262" s="192"/>
      <c r="M262" s="75"/>
      <c r="N262" s="2"/>
      <c r="O262" s="2"/>
      <c r="P262" s="2"/>
      <c r="Q262" s="2"/>
      <c r="R262" s="2"/>
    </row>
    <row r="263" spans="1:18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192"/>
      <c r="L263" s="192"/>
      <c r="M263" s="75"/>
      <c r="N263" s="2"/>
      <c r="O263" s="2"/>
      <c r="P263" s="2"/>
      <c r="Q263" s="2"/>
      <c r="R263" s="2"/>
    </row>
    <row r="264" spans="1:18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192"/>
      <c r="L264" s="192"/>
      <c r="M264" s="75"/>
      <c r="N264" s="2"/>
      <c r="O264" s="2"/>
      <c r="P264" s="2"/>
      <c r="Q264" s="2"/>
      <c r="R264" s="2"/>
    </row>
    <row r="265" spans="1:18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192"/>
      <c r="L265" s="192"/>
      <c r="M265" s="75"/>
      <c r="N265" s="2"/>
      <c r="O265" s="2"/>
      <c r="P265" s="2"/>
      <c r="Q265" s="2"/>
      <c r="R265" s="2"/>
    </row>
    <row r="266" spans="1:18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192"/>
      <c r="L266" s="192"/>
      <c r="M266" s="75"/>
      <c r="N266" s="2"/>
      <c r="O266" s="2"/>
      <c r="P266" s="2"/>
      <c r="Q266" s="2"/>
      <c r="R266" s="2"/>
    </row>
    <row r="267" spans="1:18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192"/>
      <c r="L267" s="192"/>
      <c r="M267" s="75"/>
      <c r="N267" s="2"/>
      <c r="O267" s="2"/>
      <c r="P267" s="2"/>
      <c r="Q267" s="2"/>
      <c r="R267" s="2"/>
    </row>
    <row r="268" spans="1:18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192"/>
      <c r="L268" s="192"/>
      <c r="M268" s="75"/>
      <c r="N268" s="2"/>
      <c r="O268" s="2"/>
      <c r="P268" s="2"/>
      <c r="Q268" s="2"/>
      <c r="R268" s="2"/>
    </row>
    <row r="269" spans="1:18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192"/>
      <c r="L269" s="192"/>
      <c r="M269" s="75"/>
      <c r="N269" s="2"/>
      <c r="O269" s="2"/>
      <c r="P269" s="2"/>
      <c r="Q269" s="2"/>
      <c r="R269" s="2"/>
    </row>
    <row r="270" spans="1:18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192"/>
      <c r="L270" s="192"/>
      <c r="M270" s="75"/>
      <c r="N270" s="2"/>
      <c r="O270" s="2"/>
      <c r="P270" s="2"/>
      <c r="Q270" s="2"/>
      <c r="R270" s="2"/>
    </row>
    <row r="271" spans="1:18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192"/>
      <c r="L271" s="192"/>
      <c r="M271" s="75"/>
      <c r="N271" s="2"/>
      <c r="O271" s="2"/>
      <c r="P271" s="2"/>
      <c r="Q271" s="2"/>
      <c r="R271" s="2"/>
    </row>
    <row r="272" spans="1:18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192"/>
      <c r="L272" s="192"/>
      <c r="M272" s="75"/>
      <c r="N272" s="2"/>
      <c r="O272" s="2"/>
      <c r="P272" s="2"/>
      <c r="Q272" s="2"/>
      <c r="R272" s="2"/>
    </row>
    <row r="273" spans="1:18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192"/>
      <c r="L273" s="192"/>
      <c r="M273" s="75"/>
      <c r="N273" s="2"/>
      <c r="O273" s="2"/>
      <c r="P273" s="2"/>
      <c r="Q273" s="2"/>
      <c r="R273" s="2"/>
    </row>
    <row r="274" spans="1:18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192"/>
      <c r="L274" s="192"/>
      <c r="M274" s="75"/>
      <c r="N274" s="2"/>
      <c r="O274" s="2"/>
      <c r="P274" s="2"/>
      <c r="Q274" s="2"/>
      <c r="R274" s="2"/>
    </row>
    <row r="275" spans="1:18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192"/>
      <c r="L275" s="192"/>
      <c r="M275" s="75"/>
      <c r="N275" s="2"/>
      <c r="O275" s="2"/>
      <c r="P275" s="2"/>
      <c r="Q275" s="2"/>
      <c r="R275" s="2"/>
    </row>
    <row r="276" spans="1:18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192"/>
      <c r="L276" s="192"/>
      <c r="M276" s="75"/>
      <c r="N276" s="2"/>
      <c r="O276" s="2"/>
      <c r="P276" s="2"/>
      <c r="Q276" s="2"/>
      <c r="R276" s="2"/>
    </row>
    <row r="277" spans="1:18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192"/>
      <c r="L277" s="192"/>
      <c r="M277" s="75"/>
      <c r="N277" s="2"/>
      <c r="O277" s="2"/>
      <c r="P277" s="2"/>
      <c r="Q277" s="2"/>
      <c r="R277" s="2"/>
    </row>
    <row r="278" spans="1:18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192"/>
      <c r="L278" s="192"/>
      <c r="M278" s="75"/>
      <c r="N278" s="2"/>
      <c r="O278" s="2"/>
      <c r="P278" s="2"/>
      <c r="Q278" s="2"/>
      <c r="R278" s="2"/>
    </row>
    <row r="279" spans="1:18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192"/>
      <c r="L279" s="192"/>
      <c r="M279" s="75"/>
      <c r="N279" s="2"/>
      <c r="O279" s="2"/>
      <c r="P279" s="2"/>
      <c r="Q279" s="2"/>
      <c r="R279" s="2"/>
    </row>
    <row r="280" spans="1:18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192"/>
      <c r="L280" s="192"/>
      <c r="M280" s="75"/>
      <c r="N280" s="2"/>
      <c r="O280" s="2"/>
      <c r="P280" s="2"/>
      <c r="Q280" s="2"/>
      <c r="R280" s="2"/>
    </row>
    <row r="281" spans="1:18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192"/>
      <c r="L281" s="192"/>
      <c r="M281" s="75"/>
      <c r="N281" s="2"/>
      <c r="O281" s="2"/>
      <c r="P281" s="2"/>
      <c r="Q281" s="2"/>
      <c r="R281" s="2"/>
    </row>
    <row r="282" spans="1:18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192"/>
      <c r="L282" s="192"/>
      <c r="M282" s="75"/>
      <c r="N282" s="2"/>
      <c r="O282" s="2"/>
      <c r="P282" s="2"/>
      <c r="Q282" s="2"/>
      <c r="R282" s="2"/>
    </row>
    <row r="283" spans="1:18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192"/>
      <c r="L283" s="192"/>
      <c r="M283" s="75"/>
      <c r="N283" s="2"/>
      <c r="O283" s="2"/>
      <c r="P283" s="2"/>
      <c r="Q283" s="2"/>
      <c r="R283" s="2"/>
    </row>
    <row r="284" spans="1:18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192"/>
      <c r="L284" s="192"/>
      <c r="M284" s="75"/>
      <c r="N284" s="2"/>
      <c r="O284" s="2"/>
      <c r="P284" s="2"/>
      <c r="Q284" s="2"/>
      <c r="R284" s="2"/>
    </row>
    <row r="285" spans="1:18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192"/>
      <c r="L285" s="192"/>
      <c r="M285" s="75"/>
      <c r="N285" s="2"/>
      <c r="O285" s="2"/>
      <c r="P285" s="2"/>
      <c r="Q285" s="2"/>
      <c r="R285" s="2"/>
    </row>
    <row r="286" spans="1:18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192"/>
      <c r="L286" s="192"/>
      <c r="M286" s="75"/>
      <c r="N286" s="2"/>
      <c r="O286" s="2"/>
      <c r="P286" s="2"/>
      <c r="Q286" s="2"/>
      <c r="R286" s="2"/>
    </row>
    <row r="287" spans="1:18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192"/>
      <c r="L287" s="192"/>
      <c r="M287" s="75"/>
      <c r="N287" s="2"/>
      <c r="O287" s="2"/>
      <c r="P287" s="2"/>
      <c r="Q287" s="2"/>
      <c r="R287" s="2"/>
    </row>
    <row r="288" spans="1:18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192"/>
      <c r="L288" s="192"/>
      <c r="M288" s="75"/>
      <c r="N288" s="2"/>
      <c r="O288" s="2"/>
      <c r="P288" s="2"/>
      <c r="Q288" s="2"/>
      <c r="R288" s="2"/>
    </row>
    <row r="289" spans="1:18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192"/>
      <c r="L289" s="192"/>
      <c r="M289" s="75"/>
      <c r="N289" s="2"/>
      <c r="O289" s="2"/>
      <c r="P289" s="2"/>
      <c r="Q289" s="2"/>
      <c r="R289" s="2"/>
    </row>
    <row r="290" spans="1:18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192"/>
      <c r="L290" s="192"/>
      <c r="M290" s="75"/>
      <c r="N290" s="2"/>
      <c r="O290" s="2"/>
      <c r="P290" s="2"/>
      <c r="Q290" s="2"/>
      <c r="R290" s="2"/>
    </row>
    <row r="291" spans="1:18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192"/>
      <c r="L291" s="192"/>
      <c r="M291" s="75"/>
      <c r="N291" s="2"/>
      <c r="O291" s="2"/>
      <c r="P291" s="2"/>
      <c r="Q291" s="2"/>
      <c r="R291" s="2"/>
    </row>
    <row r="292" spans="1:18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192"/>
      <c r="L292" s="192"/>
      <c r="M292" s="75"/>
      <c r="N292" s="2"/>
      <c r="O292" s="2"/>
      <c r="P292" s="2"/>
      <c r="Q292" s="2"/>
      <c r="R292" s="2"/>
    </row>
    <row r="293" spans="1:18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192"/>
      <c r="L293" s="192"/>
      <c r="M293" s="75"/>
      <c r="N293" s="2"/>
      <c r="O293" s="2"/>
      <c r="P293" s="2"/>
      <c r="Q293" s="2"/>
      <c r="R293" s="2"/>
    </row>
    <row r="294" spans="1:18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192"/>
      <c r="L294" s="192"/>
      <c r="M294" s="75"/>
      <c r="N294" s="2"/>
      <c r="O294" s="2"/>
      <c r="P294" s="2"/>
      <c r="Q294" s="2"/>
      <c r="R294" s="2"/>
    </row>
    <row r="295" spans="1:18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192"/>
      <c r="L295" s="192"/>
      <c r="M295" s="75"/>
      <c r="N295" s="2"/>
      <c r="O295" s="2"/>
      <c r="P295" s="2"/>
      <c r="Q295" s="2"/>
      <c r="R295" s="2"/>
    </row>
    <row r="296" spans="1:18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192"/>
      <c r="L296" s="192"/>
      <c r="M296" s="75"/>
      <c r="N296" s="2"/>
      <c r="O296" s="2"/>
      <c r="P296" s="2"/>
      <c r="Q296" s="2"/>
      <c r="R296" s="2"/>
    </row>
    <row r="297" spans="1:18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192"/>
      <c r="L297" s="192"/>
      <c r="M297" s="75"/>
      <c r="N297" s="2"/>
      <c r="O297" s="2"/>
      <c r="P297" s="2"/>
      <c r="Q297" s="2"/>
      <c r="R297" s="2"/>
    </row>
    <row r="298" spans="1:18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192"/>
      <c r="L298" s="192"/>
      <c r="M298" s="75"/>
      <c r="N298" s="2"/>
      <c r="O298" s="2"/>
      <c r="P298" s="2"/>
      <c r="Q298" s="2"/>
      <c r="R298" s="2"/>
    </row>
    <row r="299" spans="1:18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192"/>
      <c r="L299" s="192"/>
      <c r="M299" s="75"/>
      <c r="N299" s="2"/>
      <c r="O299" s="2"/>
      <c r="P299" s="2"/>
      <c r="Q299" s="2"/>
      <c r="R299" s="2"/>
    </row>
    <row r="300" spans="1:18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192"/>
      <c r="L300" s="192"/>
      <c r="M300" s="75"/>
      <c r="N300" s="2"/>
      <c r="O300" s="2"/>
      <c r="P300" s="2"/>
      <c r="Q300" s="2"/>
      <c r="R300" s="2"/>
    </row>
    <row r="301" spans="1:18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192"/>
      <c r="L301" s="192"/>
      <c r="M301" s="75"/>
      <c r="N301" s="2"/>
      <c r="O301" s="2"/>
      <c r="P301" s="2"/>
      <c r="Q301" s="2"/>
      <c r="R301" s="2"/>
    </row>
    <row r="302" spans="1:18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192"/>
      <c r="L302" s="192"/>
      <c r="M302" s="75"/>
      <c r="N302" s="2"/>
      <c r="O302" s="2"/>
      <c r="P302" s="2"/>
      <c r="Q302" s="2"/>
      <c r="R302" s="2"/>
    </row>
    <row r="303" spans="1:18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192"/>
      <c r="L303" s="192"/>
      <c r="M303" s="75"/>
      <c r="N303" s="2"/>
      <c r="O303" s="2"/>
      <c r="P303" s="2"/>
      <c r="Q303" s="2"/>
      <c r="R303" s="2"/>
    </row>
    <row r="304" spans="1:18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192"/>
      <c r="L304" s="192"/>
      <c r="M304" s="75"/>
      <c r="N304" s="2"/>
      <c r="O304" s="2"/>
      <c r="P304" s="2"/>
      <c r="Q304" s="2"/>
      <c r="R304" s="2"/>
    </row>
    <row r="305" spans="1:18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192"/>
      <c r="L305" s="192"/>
      <c r="M305" s="75"/>
      <c r="N305" s="2"/>
      <c r="O305" s="2"/>
      <c r="P305" s="2"/>
      <c r="Q305" s="2"/>
      <c r="R305" s="2"/>
    </row>
    <row r="306" spans="1:18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192"/>
      <c r="L306" s="192"/>
      <c r="M306" s="75"/>
      <c r="N306" s="2"/>
      <c r="O306" s="2"/>
      <c r="P306" s="2"/>
      <c r="Q306" s="2"/>
      <c r="R306" s="2"/>
    </row>
    <row r="307" spans="1:18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192"/>
      <c r="L307" s="192"/>
      <c r="M307" s="75"/>
      <c r="N307" s="2"/>
      <c r="O307" s="2"/>
      <c r="P307" s="2"/>
      <c r="Q307" s="2"/>
      <c r="R307" s="2"/>
    </row>
    <row r="308" spans="1:18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192"/>
      <c r="L308" s="192"/>
      <c r="M308" s="75"/>
      <c r="N308" s="2"/>
      <c r="O308" s="2"/>
      <c r="P308" s="2"/>
      <c r="Q308" s="2"/>
      <c r="R308" s="2"/>
    </row>
    <row r="309" spans="1:18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192"/>
      <c r="L309" s="192"/>
      <c r="M309" s="75"/>
      <c r="N309" s="2"/>
      <c r="O309" s="2"/>
      <c r="P309" s="2"/>
      <c r="Q309" s="2"/>
      <c r="R309" s="2"/>
    </row>
    <row r="310" spans="1:18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192"/>
      <c r="L310" s="192"/>
      <c r="M310" s="75"/>
      <c r="N310" s="2"/>
      <c r="O310" s="2"/>
      <c r="P310" s="2"/>
      <c r="Q310" s="2"/>
      <c r="R310" s="2"/>
    </row>
    <row r="311" spans="1:18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192"/>
      <c r="L311" s="192"/>
      <c r="M311" s="75"/>
      <c r="N311" s="2"/>
      <c r="O311" s="2"/>
      <c r="P311" s="2"/>
      <c r="Q311" s="2"/>
      <c r="R311" s="2"/>
    </row>
    <row r="312" spans="1:18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192"/>
      <c r="L312" s="192"/>
      <c r="M312" s="75"/>
      <c r="N312" s="2"/>
      <c r="O312" s="2"/>
      <c r="P312" s="2"/>
      <c r="Q312" s="2"/>
      <c r="R312" s="2"/>
    </row>
    <row r="313" spans="1:18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192"/>
      <c r="L313" s="192"/>
      <c r="M313" s="75"/>
      <c r="N313" s="2"/>
      <c r="O313" s="2"/>
      <c r="P313" s="2"/>
      <c r="Q313" s="2"/>
      <c r="R313" s="2"/>
    </row>
    <row r="314" spans="1:18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192"/>
      <c r="L314" s="192"/>
      <c r="M314" s="75"/>
      <c r="N314" s="2"/>
      <c r="O314" s="2"/>
      <c r="P314" s="2"/>
      <c r="Q314" s="2"/>
      <c r="R314" s="2"/>
    </row>
    <row r="315" spans="1:18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192"/>
      <c r="L315" s="192"/>
      <c r="M315" s="75"/>
      <c r="N315" s="2"/>
      <c r="O315" s="2"/>
      <c r="P315" s="2"/>
      <c r="Q315" s="2"/>
      <c r="R315" s="2"/>
    </row>
    <row r="316" spans="1:18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192"/>
      <c r="L316" s="192"/>
      <c r="M316" s="75"/>
      <c r="N316" s="2"/>
      <c r="O316" s="2"/>
      <c r="P316" s="2"/>
      <c r="Q316" s="2"/>
      <c r="R316" s="2"/>
    </row>
    <row r="317" spans="1:18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192"/>
      <c r="L317" s="192"/>
      <c r="M317" s="75"/>
      <c r="N317" s="2"/>
      <c r="O317" s="2"/>
      <c r="P317" s="2"/>
      <c r="Q317" s="2"/>
      <c r="R317" s="2"/>
    </row>
    <row r="318" spans="1:18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192"/>
      <c r="L318" s="192"/>
      <c r="M318" s="75"/>
      <c r="N318" s="2"/>
      <c r="O318" s="2"/>
      <c r="P318" s="2"/>
      <c r="Q318" s="2"/>
      <c r="R318" s="2"/>
    </row>
    <row r="319" spans="1:18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192"/>
      <c r="L319" s="192"/>
      <c r="M319" s="75"/>
      <c r="N319" s="2"/>
      <c r="O319" s="2"/>
      <c r="P319" s="2"/>
      <c r="Q319" s="2"/>
      <c r="R319" s="2"/>
    </row>
    <row r="320" spans="1:18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192"/>
      <c r="L320" s="192"/>
      <c r="M320" s="75"/>
      <c r="N320" s="2"/>
      <c r="O320" s="2"/>
      <c r="P320" s="2"/>
      <c r="Q320" s="2"/>
      <c r="R320" s="2"/>
    </row>
    <row r="321" spans="1:18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192"/>
      <c r="L321" s="192"/>
      <c r="M321" s="75"/>
      <c r="N321" s="2"/>
      <c r="O321" s="2"/>
      <c r="P321" s="2"/>
      <c r="Q321" s="2"/>
      <c r="R321" s="2"/>
    </row>
    <row r="322" spans="1:18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192"/>
      <c r="L322" s="192"/>
      <c r="M322" s="75"/>
      <c r="N322" s="2"/>
      <c r="O322" s="2"/>
      <c r="P322" s="2"/>
      <c r="Q322" s="2"/>
      <c r="R322" s="2"/>
    </row>
    <row r="323" spans="1:18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192"/>
      <c r="L323" s="192"/>
      <c r="M323" s="75"/>
      <c r="N323" s="2"/>
      <c r="O323" s="2"/>
      <c r="P323" s="2"/>
      <c r="Q323" s="2"/>
      <c r="R323" s="2"/>
    </row>
    <row r="324" spans="1:18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192"/>
      <c r="L324" s="192"/>
      <c r="M324" s="75"/>
      <c r="N324" s="2"/>
      <c r="O324" s="2"/>
      <c r="P324" s="2"/>
      <c r="Q324" s="2"/>
      <c r="R324" s="2"/>
    </row>
    <row r="325" spans="1:18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192"/>
      <c r="L325" s="192"/>
      <c r="M325" s="75"/>
      <c r="N325" s="2"/>
      <c r="O325" s="2"/>
      <c r="P325" s="2"/>
      <c r="Q325" s="2"/>
      <c r="R325" s="2"/>
    </row>
    <row r="326" spans="1:18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192"/>
      <c r="L326" s="192"/>
      <c r="M326" s="75"/>
      <c r="N326" s="2"/>
      <c r="O326" s="2"/>
      <c r="P326" s="2"/>
      <c r="Q326" s="2"/>
      <c r="R326" s="2"/>
    </row>
    <row r="327" spans="1:18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92"/>
      <c r="L327" s="192"/>
      <c r="M327" s="75"/>
      <c r="N327" s="2"/>
      <c r="O327" s="2"/>
      <c r="P327" s="2"/>
      <c r="Q327" s="2"/>
      <c r="R327" s="2"/>
    </row>
    <row r="328" spans="1:18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92"/>
      <c r="L328" s="192"/>
      <c r="M328" s="75"/>
      <c r="N328" s="2"/>
      <c r="O328" s="2"/>
      <c r="P328" s="2"/>
      <c r="Q328" s="2"/>
      <c r="R328" s="2"/>
    </row>
    <row r="329" spans="1:18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92"/>
      <c r="L329" s="192"/>
      <c r="M329" s="75"/>
      <c r="N329" s="2"/>
      <c r="O329" s="2"/>
      <c r="P329" s="2"/>
      <c r="Q329" s="2"/>
      <c r="R329" s="2"/>
    </row>
    <row r="330" spans="1:18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92"/>
      <c r="L330" s="192"/>
      <c r="M330" s="75"/>
      <c r="N330" s="2"/>
      <c r="O330" s="2"/>
      <c r="P330" s="2"/>
      <c r="Q330" s="2"/>
      <c r="R330" s="2"/>
    </row>
    <row r="331" spans="1:18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92"/>
      <c r="L331" s="192"/>
      <c r="M331" s="75"/>
      <c r="N331" s="2"/>
      <c r="O331" s="2"/>
      <c r="P331" s="2"/>
      <c r="Q331" s="2"/>
      <c r="R331" s="2"/>
    </row>
    <row r="332" spans="1:18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92"/>
      <c r="L332" s="192"/>
      <c r="M332" s="75"/>
      <c r="N332" s="2"/>
      <c r="O332" s="2"/>
      <c r="P332" s="2"/>
      <c r="Q332" s="2"/>
      <c r="R332" s="2"/>
    </row>
    <row r="333" spans="1:18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92"/>
      <c r="L333" s="192"/>
      <c r="M333" s="75"/>
      <c r="N333" s="2"/>
      <c r="O333" s="2"/>
      <c r="P333" s="2"/>
      <c r="Q333" s="2"/>
      <c r="R333" s="2"/>
    </row>
    <row r="334" spans="1:18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92"/>
      <c r="L334" s="192"/>
      <c r="M334" s="75"/>
      <c r="N334" s="2"/>
      <c r="O334" s="2"/>
      <c r="P334" s="2"/>
      <c r="Q334" s="2"/>
      <c r="R334" s="2"/>
    </row>
    <row r="335" spans="1:18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92"/>
      <c r="L335" s="192"/>
      <c r="M335" s="75"/>
      <c r="N335" s="2"/>
      <c r="O335" s="2"/>
      <c r="P335" s="2"/>
      <c r="Q335" s="2"/>
      <c r="R335" s="2"/>
    </row>
    <row r="336" spans="1:18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192"/>
      <c r="L336" s="192"/>
      <c r="M336" s="75"/>
      <c r="N336" s="2"/>
      <c r="O336" s="2"/>
      <c r="P336" s="2"/>
      <c r="Q336" s="2"/>
      <c r="R336" s="2"/>
    </row>
    <row r="337" spans="1:18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192"/>
      <c r="L337" s="192"/>
      <c r="M337" s="75"/>
      <c r="N337" s="2"/>
      <c r="O337" s="2"/>
      <c r="P337" s="2"/>
      <c r="Q337" s="2"/>
      <c r="R337" s="2"/>
    </row>
    <row r="338" spans="1:18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192"/>
      <c r="L338" s="192"/>
      <c r="M338" s="75"/>
      <c r="N338" s="2"/>
      <c r="O338" s="2"/>
      <c r="P338" s="2"/>
      <c r="Q338" s="2"/>
      <c r="R338" s="2"/>
    </row>
    <row r="339" spans="1:18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192"/>
      <c r="L339" s="192"/>
      <c r="M339" s="75"/>
      <c r="N339" s="2"/>
      <c r="O339" s="2"/>
      <c r="P339" s="2"/>
      <c r="Q339" s="2"/>
      <c r="R339" s="2"/>
    </row>
    <row r="340" spans="1:18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92"/>
      <c r="L340" s="192"/>
      <c r="M340" s="75"/>
      <c r="N340" s="2"/>
      <c r="O340" s="2"/>
      <c r="P340" s="2"/>
      <c r="Q340" s="2"/>
      <c r="R340" s="2"/>
    </row>
    <row r="341" spans="1:18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92"/>
      <c r="L341" s="192"/>
      <c r="M341" s="75"/>
      <c r="N341" s="2"/>
      <c r="O341" s="2"/>
      <c r="P341" s="2"/>
      <c r="Q341" s="2"/>
      <c r="R341" s="2"/>
    </row>
    <row r="342" spans="1:18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92"/>
      <c r="L342" s="192"/>
      <c r="M342" s="75"/>
      <c r="N342" s="2"/>
      <c r="O342" s="2"/>
      <c r="P342" s="2"/>
      <c r="Q342" s="2"/>
      <c r="R342" s="2"/>
    </row>
    <row r="343" spans="1:18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92"/>
      <c r="L343" s="192"/>
      <c r="M343" s="75"/>
      <c r="N343" s="2"/>
      <c r="O343" s="2"/>
      <c r="P343" s="2"/>
      <c r="Q343" s="2"/>
      <c r="R343" s="2"/>
    </row>
    <row r="344" spans="1:18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92"/>
      <c r="L344" s="192"/>
      <c r="M344" s="75"/>
      <c r="N344" s="2"/>
      <c r="O344" s="2"/>
      <c r="P344" s="2"/>
      <c r="Q344" s="2"/>
      <c r="R344" s="2"/>
    </row>
    <row r="345" spans="1:18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92"/>
      <c r="L345" s="192"/>
      <c r="M345" s="75"/>
      <c r="N345" s="2"/>
      <c r="O345" s="2"/>
      <c r="P345" s="2"/>
      <c r="Q345" s="2"/>
      <c r="R345" s="2"/>
    </row>
    <row r="346" spans="1:18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92"/>
      <c r="L346" s="192"/>
      <c r="M346" s="75"/>
      <c r="N346" s="2"/>
      <c r="O346" s="2"/>
      <c r="P346" s="2"/>
      <c r="Q346" s="2"/>
      <c r="R346" s="2"/>
    </row>
    <row r="347" spans="1:18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92"/>
      <c r="L347" s="192"/>
      <c r="M347" s="75"/>
      <c r="N347" s="2"/>
      <c r="O347" s="2"/>
      <c r="P347" s="2"/>
      <c r="Q347" s="2"/>
      <c r="R347" s="2"/>
    </row>
    <row r="348" spans="1:18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92"/>
      <c r="L348" s="192"/>
      <c r="M348" s="75"/>
      <c r="N348" s="2"/>
      <c r="O348" s="2"/>
      <c r="P348" s="2"/>
      <c r="Q348" s="2"/>
      <c r="R348" s="2"/>
    </row>
    <row r="349" spans="1:18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192"/>
      <c r="L349" s="192"/>
      <c r="M349" s="75"/>
      <c r="N349" s="2"/>
      <c r="O349" s="2"/>
      <c r="P349" s="2"/>
      <c r="Q349" s="2"/>
      <c r="R349" s="2"/>
    </row>
    <row r="350" spans="1:18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192"/>
      <c r="L350" s="192"/>
      <c r="M350" s="75"/>
      <c r="N350" s="2"/>
      <c r="O350" s="2"/>
      <c r="P350" s="2"/>
      <c r="Q350" s="2"/>
      <c r="R350" s="2"/>
    </row>
    <row r="351" spans="1:18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192"/>
      <c r="L351" s="192"/>
      <c r="M351" s="75"/>
      <c r="N351" s="2"/>
      <c r="O351" s="2"/>
      <c r="P351" s="2"/>
      <c r="Q351" s="2"/>
      <c r="R351" s="2"/>
    </row>
    <row r="352" spans="1:18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192"/>
      <c r="L352" s="192"/>
      <c r="M352" s="75"/>
      <c r="N352" s="2"/>
      <c r="O352" s="2"/>
      <c r="P352" s="2"/>
      <c r="Q352" s="2"/>
      <c r="R352" s="2"/>
    </row>
    <row r="353" spans="1:18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92"/>
      <c r="L353" s="192"/>
      <c r="M353" s="75"/>
      <c r="N353" s="2"/>
      <c r="O353" s="2"/>
      <c r="P353" s="2"/>
      <c r="Q353" s="2"/>
      <c r="R353" s="2"/>
    </row>
    <row r="354" spans="1:18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92"/>
      <c r="L354" s="192"/>
      <c r="M354" s="75"/>
      <c r="N354" s="2"/>
      <c r="O354" s="2"/>
      <c r="P354" s="2"/>
      <c r="Q354" s="2"/>
      <c r="R354" s="2"/>
    </row>
    <row r="355" spans="1:18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92"/>
      <c r="L355" s="192"/>
      <c r="M355" s="75"/>
      <c r="N355" s="2"/>
      <c r="O355" s="2"/>
      <c r="P355" s="2"/>
      <c r="Q355" s="2"/>
      <c r="R355" s="2"/>
    </row>
    <row r="356" spans="1:18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92"/>
      <c r="L356" s="192"/>
      <c r="M356" s="75"/>
      <c r="N356" s="2"/>
      <c r="O356" s="2"/>
      <c r="P356" s="2"/>
      <c r="Q356" s="2"/>
      <c r="R356" s="2"/>
    </row>
    <row r="357" spans="1:18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92"/>
      <c r="L357" s="192"/>
      <c r="M357" s="75"/>
      <c r="N357" s="2"/>
      <c r="O357" s="2"/>
      <c r="P357" s="2"/>
      <c r="Q357" s="2"/>
      <c r="R357" s="2"/>
    </row>
    <row r="358" spans="1:18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92"/>
      <c r="L358" s="192"/>
      <c r="M358" s="75"/>
      <c r="N358" s="2"/>
      <c r="O358" s="2"/>
      <c r="P358" s="2"/>
      <c r="Q358" s="2"/>
      <c r="R358" s="2"/>
    </row>
    <row r="359" spans="1:18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92"/>
      <c r="L359" s="192"/>
      <c r="M359" s="75"/>
      <c r="N359" s="2"/>
      <c r="O359" s="2"/>
      <c r="P359" s="2"/>
      <c r="Q359" s="2"/>
      <c r="R359" s="2"/>
    </row>
    <row r="360" spans="1:18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92"/>
      <c r="L360" s="192"/>
      <c r="M360" s="75"/>
      <c r="N360" s="2"/>
      <c r="O360" s="2"/>
      <c r="P360" s="2"/>
      <c r="Q360" s="2"/>
      <c r="R360" s="2"/>
    </row>
    <row r="361" spans="1:18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92"/>
      <c r="L361" s="192"/>
      <c r="M361" s="75"/>
      <c r="N361" s="2"/>
      <c r="O361" s="2"/>
      <c r="P361" s="2"/>
      <c r="Q361" s="2"/>
      <c r="R361" s="2"/>
    </row>
    <row r="362" spans="1:18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192"/>
      <c r="L362" s="192"/>
      <c r="M362" s="75"/>
      <c r="N362" s="2"/>
      <c r="O362" s="2"/>
      <c r="P362" s="2"/>
      <c r="Q362" s="2"/>
      <c r="R362" s="2"/>
    </row>
    <row r="363" spans="1:18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192"/>
      <c r="L363" s="192"/>
      <c r="M363" s="75"/>
      <c r="N363" s="2"/>
      <c r="O363" s="2"/>
      <c r="P363" s="2"/>
      <c r="Q363" s="2"/>
      <c r="R363" s="2"/>
    </row>
    <row r="364" spans="1:18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192"/>
      <c r="L364" s="192"/>
      <c r="M364" s="75"/>
      <c r="N364" s="2"/>
      <c r="O364" s="2"/>
      <c r="P364" s="2"/>
      <c r="Q364" s="2"/>
      <c r="R364" s="2"/>
    </row>
    <row r="365" spans="1:18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192"/>
      <c r="L365" s="192"/>
      <c r="M365" s="75"/>
      <c r="N365" s="2"/>
      <c r="O365" s="2"/>
      <c r="P365" s="2"/>
      <c r="Q365" s="2"/>
      <c r="R365" s="2"/>
    </row>
    <row r="366" spans="1:18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192"/>
      <c r="L366" s="192"/>
      <c r="M366" s="75"/>
      <c r="N366" s="2"/>
      <c r="O366" s="2"/>
      <c r="P366" s="2"/>
      <c r="Q366" s="2"/>
      <c r="R366" s="2"/>
    </row>
    <row r="367" spans="1:18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192"/>
      <c r="L367" s="192"/>
      <c r="M367" s="75"/>
      <c r="N367" s="2"/>
      <c r="O367" s="2"/>
      <c r="P367" s="2"/>
      <c r="Q367" s="2"/>
      <c r="R367" s="2"/>
    </row>
    <row r="368" spans="1:18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192"/>
      <c r="L368" s="192"/>
      <c r="M368" s="75"/>
      <c r="N368" s="2"/>
      <c r="O368" s="2"/>
      <c r="P368" s="2"/>
      <c r="Q368" s="2"/>
      <c r="R368" s="2"/>
    </row>
    <row r="369" spans="1:18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192"/>
      <c r="L369" s="192"/>
      <c r="M369" s="75"/>
      <c r="N369" s="2"/>
      <c r="O369" s="2"/>
      <c r="P369" s="2"/>
      <c r="Q369" s="2"/>
      <c r="R369" s="2"/>
    </row>
    <row r="370" spans="1:18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192"/>
      <c r="L370" s="192"/>
      <c r="M370" s="75"/>
      <c r="N370" s="2"/>
      <c r="O370" s="2"/>
      <c r="P370" s="2"/>
      <c r="Q370" s="2"/>
      <c r="R370" s="2"/>
    </row>
    <row r="371" spans="1:18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192"/>
      <c r="L371" s="192"/>
      <c r="M371" s="75"/>
      <c r="N371" s="2"/>
      <c r="O371" s="2"/>
      <c r="P371" s="2"/>
      <c r="Q371" s="2"/>
      <c r="R371" s="2"/>
    </row>
    <row r="372" spans="1:18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192"/>
      <c r="L372" s="192"/>
      <c r="M372" s="75"/>
      <c r="N372" s="2"/>
      <c r="O372" s="2"/>
      <c r="P372" s="2"/>
      <c r="Q372" s="2"/>
      <c r="R372" s="2"/>
    </row>
    <row r="373" spans="1:18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192"/>
      <c r="L373" s="192"/>
      <c r="M373" s="75"/>
      <c r="N373" s="2"/>
      <c r="O373" s="2"/>
      <c r="P373" s="2"/>
      <c r="Q373" s="2"/>
      <c r="R373" s="2"/>
    </row>
    <row r="374" spans="1:18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192"/>
      <c r="L374" s="192"/>
      <c r="M374" s="75"/>
      <c r="N374" s="2"/>
      <c r="O374" s="2"/>
      <c r="P374" s="2"/>
      <c r="Q374" s="2"/>
      <c r="R374" s="2"/>
    </row>
    <row r="375" spans="1:18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192"/>
      <c r="L375" s="192"/>
      <c r="M375" s="75"/>
      <c r="N375" s="2"/>
      <c r="O375" s="2"/>
      <c r="P375" s="2"/>
      <c r="Q375" s="2"/>
      <c r="R375" s="2"/>
    </row>
    <row r="376" spans="1:18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192"/>
      <c r="L376" s="192"/>
      <c r="M376" s="75"/>
      <c r="N376" s="2"/>
      <c r="O376" s="2"/>
      <c r="P376" s="2"/>
      <c r="Q376" s="2"/>
      <c r="R376" s="2"/>
    </row>
    <row r="377" spans="1:18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192"/>
      <c r="L377" s="192"/>
      <c r="M377" s="75"/>
      <c r="N377" s="2"/>
      <c r="O377" s="2"/>
      <c r="P377" s="2"/>
      <c r="Q377" s="2"/>
      <c r="R377" s="2"/>
    </row>
    <row r="378" spans="1:18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192"/>
      <c r="L378" s="192"/>
      <c r="M378" s="75"/>
      <c r="N378" s="2"/>
      <c r="O378" s="2"/>
      <c r="P378" s="2"/>
      <c r="Q378" s="2"/>
      <c r="R378" s="2"/>
    </row>
    <row r="379" spans="1:18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192"/>
      <c r="L379" s="192"/>
      <c r="M379" s="75"/>
      <c r="N379" s="2"/>
      <c r="O379" s="2"/>
      <c r="P379" s="2"/>
      <c r="Q379" s="2"/>
      <c r="R379" s="2"/>
    </row>
    <row r="380" spans="1:18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192"/>
      <c r="L380" s="192"/>
      <c r="M380" s="75"/>
      <c r="N380" s="2"/>
      <c r="O380" s="2"/>
      <c r="P380" s="2"/>
      <c r="Q380" s="2"/>
      <c r="R380" s="2"/>
    </row>
    <row r="381" spans="1:18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192"/>
      <c r="L381" s="192"/>
      <c r="M381" s="75"/>
      <c r="N381" s="2"/>
      <c r="O381" s="2"/>
      <c r="P381" s="2"/>
      <c r="Q381" s="2"/>
      <c r="R381" s="2"/>
    </row>
    <row r="382" spans="1:18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192"/>
      <c r="L382" s="192"/>
      <c r="M382" s="75"/>
      <c r="N382" s="2"/>
      <c r="O382" s="2"/>
      <c r="P382" s="2"/>
      <c r="Q382" s="2"/>
      <c r="R382" s="2"/>
    </row>
    <row r="383" spans="1:18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192"/>
      <c r="L383" s="192"/>
      <c r="M383" s="75"/>
      <c r="N383" s="2"/>
      <c r="O383" s="2"/>
      <c r="P383" s="2"/>
      <c r="Q383" s="2"/>
      <c r="R383" s="2"/>
    </row>
    <row r="384" spans="1:18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192"/>
      <c r="L384" s="192"/>
      <c r="M384" s="75"/>
      <c r="N384" s="2"/>
      <c r="O384" s="2"/>
      <c r="P384" s="2"/>
      <c r="Q384" s="2"/>
      <c r="R384" s="2"/>
    </row>
    <row r="385" spans="1:18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192"/>
      <c r="L385" s="192"/>
      <c r="M385" s="75"/>
      <c r="N385" s="2"/>
      <c r="O385" s="2"/>
      <c r="P385" s="2"/>
      <c r="Q385" s="2"/>
      <c r="R385" s="2"/>
    </row>
    <row r="386" spans="1:18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192"/>
      <c r="L386" s="192"/>
      <c r="M386" s="75"/>
      <c r="N386" s="2"/>
      <c r="O386" s="2"/>
      <c r="P386" s="2"/>
      <c r="Q386" s="2"/>
      <c r="R386" s="2"/>
    </row>
    <row r="387" spans="1:18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192"/>
      <c r="L387" s="192"/>
      <c r="M387" s="75"/>
      <c r="N387" s="2"/>
      <c r="O387" s="2"/>
      <c r="P387" s="2"/>
      <c r="Q387" s="2"/>
      <c r="R387" s="2"/>
    </row>
  </sheetData>
  <phoneticPr fontId="0" type="noConversion"/>
  <printOptions horizontalCentered="1"/>
  <pageMargins left="0.45" right="0.25" top="0.31944444444444398" bottom="0.2" header="0.5" footer="0.5"/>
  <pageSetup scale="57" orientation="landscape" r:id="rId1"/>
  <headerFooter alignWithMargins="0"/>
  <rowBreaks count="1" manualBreakCount="1">
    <brk id="6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0"/>
  <sheetViews>
    <sheetView showOutlineSymbols="0" zoomScaleNormal="100" workbookViewId="0">
      <selection activeCell="A10" sqref="A10"/>
    </sheetView>
  </sheetViews>
  <sheetFormatPr defaultColWidth="9.6640625" defaultRowHeight="15" x14ac:dyDescent="0.2"/>
  <cols>
    <col min="1" max="1" width="10.21875" style="80" customWidth="1"/>
    <col min="2" max="2" width="9.77734375" style="80" customWidth="1"/>
    <col min="3" max="3" width="16.109375" style="80" customWidth="1"/>
    <col min="4" max="4" width="26.21875" style="80" customWidth="1"/>
    <col min="5" max="6" width="13.6640625" style="80" customWidth="1"/>
    <col min="7" max="7" width="16" style="80" customWidth="1"/>
    <col min="8" max="8" width="12.44140625" style="80" customWidth="1"/>
    <col min="9" max="9" width="15.88671875" style="80" customWidth="1"/>
    <col min="10" max="10" width="14.6640625" style="80" customWidth="1"/>
    <col min="11" max="11" width="11.5546875" style="80" customWidth="1"/>
    <col min="12" max="12" width="12.77734375" style="80" customWidth="1"/>
    <col min="13" max="13" width="14.5546875" style="80" customWidth="1"/>
    <col min="14" max="14" width="10.109375" style="80" customWidth="1"/>
    <col min="15" max="15" width="13.44140625" style="80" customWidth="1"/>
    <col min="16" max="16" width="3.77734375" style="80" customWidth="1"/>
    <col min="17" max="16384" width="9.6640625" style="80"/>
  </cols>
  <sheetData>
    <row r="1" spans="1:16" ht="23.25" x14ac:dyDescent="0.35">
      <c r="A1" s="78" t="s">
        <v>0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6" ht="23.25" x14ac:dyDescent="0.35">
      <c r="A2" s="78" t="s">
        <v>21</v>
      </c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 ht="23.25" x14ac:dyDescent="0.35">
      <c r="A3" s="282" t="s">
        <v>73</v>
      </c>
      <c r="B3" s="78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6" ht="23.25" x14ac:dyDescent="0.35">
      <c r="A4" s="78"/>
      <c r="B4" s="78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6" ht="24" thickBot="1" x14ac:dyDescent="0.4">
      <c r="A5" s="78" t="s">
        <v>22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6" ht="16.5" thickTop="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2" t="s">
        <v>23</v>
      </c>
      <c r="P6" s="83"/>
    </row>
    <row r="7" spans="1:16" ht="15.75" x14ac:dyDescent="0.25">
      <c r="A7" s="105" t="s">
        <v>24</v>
      </c>
      <c r="B7" s="84" t="s">
        <v>13</v>
      </c>
      <c r="C7" s="84" t="s">
        <v>15</v>
      </c>
      <c r="D7" s="84" t="s">
        <v>62</v>
      </c>
      <c r="E7" s="275" t="s">
        <v>55</v>
      </c>
      <c r="F7" s="84" t="s">
        <v>60</v>
      </c>
      <c r="G7" s="84" t="s">
        <v>63</v>
      </c>
      <c r="H7" s="84" t="s">
        <v>68</v>
      </c>
      <c r="I7" s="84" t="s">
        <v>70</v>
      </c>
      <c r="J7" s="84" t="s">
        <v>25</v>
      </c>
      <c r="K7" s="84" t="s">
        <v>52</v>
      </c>
      <c r="L7" s="84" t="s">
        <v>50</v>
      </c>
      <c r="M7" s="84" t="s">
        <v>17</v>
      </c>
      <c r="N7" s="84" t="s">
        <v>51</v>
      </c>
      <c r="O7" s="84" t="s">
        <v>26</v>
      </c>
      <c r="P7" s="83"/>
    </row>
    <row r="8" spans="1:16" ht="16.5" thickBot="1" x14ac:dyDescent="0.3">
      <c r="A8" s="85"/>
      <c r="B8" s="85"/>
      <c r="C8" s="85"/>
      <c r="D8" s="85"/>
      <c r="E8" s="276"/>
      <c r="F8" s="85"/>
      <c r="G8" s="85"/>
      <c r="H8" s="85"/>
      <c r="I8" s="85"/>
      <c r="J8" s="85"/>
      <c r="K8" s="85"/>
      <c r="L8" s="85"/>
      <c r="M8" s="85"/>
      <c r="N8" s="85"/>
      <c r="O8" s="85"/>
      <c r="P8" s="83"/>
    </row>
    <row r="9" spans="1:16" ht="15.75" thickTop="1" x14ac:dyDescent="0.2">
      <c r="A9" s="86"/>
      <c r="B9" s="86"/>
      <c r="C9" s="86"/>
      <c r="D9" s="86"/>
      <c r="E9" s="87"/>
      <c r="F9" s="87"/>
      <c r="G9" s="87"/>
      <c r="H9" s="87"/>
      <c r="I9" s="87"/>
      <c r="J9" s="86"/>
      <c r="K9" s="86"/>
      <c r="L9" s="86"/>
      <c r="M9" s="86"/>
      <c r="N9" s="86"/>
      <c r="O9" s="86"/>
      <c r="P9" s="83"/>
    </row>
    <row r="10" spans="1:16" ht="15.75" x14ac:dyDescent="0.25">
      <c r="A10" s="88">
        <f>DATE(2023,7,1)</f>
        <v>45108</v>
      </c>
      <c r="B10" s="89">
        <f>'MONTHLY STATS'!$C$9*2</f>
        <v>397942</v>
      </c>
      <c r="C10" s="89">
        <f>'MONTHLY STATS'!$C$17*2</f>
        <v>229528</v>
      </c>
      <c r="D10" s="89">
        <f>'MONTHLY STATS'!$C$25*2</f>
        <v>124414</v>
      </c>
      <c r="E10" s="89">
        <f>'MONTHLY STATS'!$C$33*2</f>
        <v>703680</v>
      </c>
      <c r="F10" s="89">
        <f>'MONTHLY STATS'!$C$41*2</f>
        <v>399396</v>
      </c>
      <c r="G10" s="89">
        <f>'MONTHLY STATS'!$C$49*2</f>
        <v>188900</v>
      </c>
      <c r="H10" s="89">
        <f>'MONTHLY STATS'!$C$57*2</f>
        <v>438240</v>
      </c>
      <c r="I10" s="89">
        <f>'MONTHLY STATS'!$C$65*2</f>
        <v>455910</v>
      </c>
      <c r="J10" s="89">
        <f>'MONTHLY STATS'!$C$73*2</f>
        <v>524176</v>
      </c>
      <c r="K10" s="89">
        <f>'MONTHLY STATS'!$C$81*2</f>
        <v>745328</v>
      </c>
      <c r="L10" s="89">
        <f>'MONTHLY STATS'!$C$89*2</f>
        <v>86244</v>
      </c>
      <c r="M10" s="89">
        <f>'MONTHLY STATS'!$C$97*2</f>
        <v>682716</v>
      </c>
      <c r="N10" s="89">
        <f>'MONTHLY STATS'!$C$105*2</f>
        <v>132646</v>
      </c>
      <c r="O10" s="90">
        <f>SUM(B10:N10)</f>
        <v>5109120</v>
      </c>
      <c r="P10" s="83"/>
    </row>
    <row r="11" spans="1:16" ht="15.75" x14ac:dyDescent="0.25">
      <c r="A11" s="88">
        <f>DATE(2023,8,1)</f>
        <v>45139</v>
      </c>
      <c r="B11" s="89">
        <f>'MONTHLY STATS'!$C$10*2</f>
        <v>371172</v>
      </c>
      <c r="C11" s="89">
        <f>'MONTHLY STATS'!$C$18*2</f>
        <v>206976</v>
      </c>
      <c r="D11" s="89">
        <f>'MONTHLY STATS'!$C$26*2</f>
        <v>111582</v>
      </c>
      <c r="E11" s="89">
        <f>'MONTHLY STATS'!$C$34*2</f>
        <v>661644</v>
      </c>
      <c r="F11" s="89">
        <f>'MONTHLY STATS'!$C$42*2</f>
        <v>371724</v>
      </c>
      <c r="G11" s="89">
        <f>'MONTHLY STATS'!$C$50*2</f>
        <v>171280</v>
      </c>
      <c r="H11" s="89">
        <f>'MONTHLY STATS'!$C$58*2</f>
        <v>436176</v>
      </c>
      <c r="I11" s="89">
        <f>'MONTHLY STATS'!$C$66*2</f>
        <v>427886</v>
      </c>
      <c r="J11" s="89">
        <f>'MONTHLY STATS'!$C$74*2</f>
        <v>478446</v>
      </c>
      <c r="K11" s="89">
        <f>'MONTHLY STATS'!$C$82*2</f>
        <v>685290</v>
      </c>
      <c r="L11" s="89">
        <f>'MONTHLY STATS'!$C$90*2</f>
        <v>77588</v>
      </c>
      <c r="M11" s="89">
        <f>'MONTHLY STATS'!$C$98*2</f>
        <v>652506</v>
      </c>
      <c r="N11" s="89">
        <f>'MONTHLY STATS'!$C$106*2</f>
        <v>127788</v>
      </c>
      <c r="O11" s="90">
        <f>SUM(B11:N11)</f>
        <v>4780058</v>
      </c>
      <c r="P11" s="83"/>
    </row>
    <row r="12" spans="1:16" ht="15.75" x14ac:dyDescent="0.25">
      <c r="A12" s="88">
        <f>DATE(2023,9,1)</f>
        <v>45170</v>
      </c>
      <c r="B12" s="89">
        <f>'MONTHLY STATS'!$C$11*2</f>
        <v>371408</v>
      </c>
      <c r="C12" s="89">
        <f>'MONTHLY STATS'!$C$19*2</f>
        <v>200608</v>
      </c>
      <c r="D12" s="89">
        <f>'MONTHLY STATS'!$C$27*2</f>
        <v>113374</v>
      </c>
      <c r="E12" s="89">
        <f>'MONTHLY STATS'!$C$35*2</f>
        <v>633924</v>
      </c>
      <c r="F12" s="89">
        <f>'MONTHLY STATS'!$C$43*2</f>
        <v>375262</v>
      </c>
      <c r="G12" s="89">
        <f>'MONTHLY STATS'!$C$51*2</f>
        <v>170280</v>
      </c>
      <c r="H12" s="89">
        <f>'MONTHLY STATS'!$C$59*2</f>
        <v>483586</v>
      </c>
      <c r="I12" s="89">
        <f>'MONTHLY STATS'!$C$67*2</f>
        <v>421612</v>
      </c>
      <c r="J12" s="89">
        <f>'MONTHLY STATS'!$C$75*2</f>
        <v>496626</v>
      </c>
      <c r="K12" s="89">
        <f>'MONTHLY STATS'!$C$83*2</f>
        <v>681256</v>
      </c>
      <c r="L12" s="89">
        <f>'MONTHLY STATS'!$C$91*2</f>
        <v>78048</v>
      </c>
      <c r="M12" s="89">
        <f>'MONTHLY STATS'!$C$99*2</f>
        <v>661610</v>
      </c>
      <c r="N12" s="89">
        <f>'MONTHLY STATS'!$C$107*2</f>
        <v>122756</v>
      </c>
      <c r="O12" s="90">
        <f>SUM(B12:N12)</f>
        <v>4810350</v>
      </c>
      <c r="P12" s="83"/>
    </row>
    <row r="13" spans="1:16" ht="15.75" x14ac:dyDescent="0.25">
      <c r="A13" s="88">
        <f>DATE(2023,10,1)</f>
        <v>45200</v>
      </c>
      <c r="B13" s="89">
        <f>'MONTHLY STATS'!$C$12*2</f>
        <v>338922</v>
      </c>
      <c r="C13" s="89">
        <f>'MONTHLY STATS'!$C$20*2</f>
        <v>186356</v>
      </c>
      <c r="D13" s="89">
        <f>'MONTHLY STATS'!$C$28*2</f>
        <v>100636</v>
      </c>
      <c r="E13" s="89">
        <f>'MONTHLY STATS'!$C$36*2</f>
        <v>577604</v>
      </c>
      <c r="F13" s="89">
        <f>'MONTHLY STATS'!$C$44*2</f>
        <v>367450</v>
      </c>
      <c r="G13" s="89">
        <f>'MONTHLY STATS'!$C$52*2</f>
        <v>156624</v>
      </c>
      <c r="H13" s="89">
        <f>'MONTHLY STATS'!$C$60*2</f>
        <v>490124</v>
      </c>
      <c r="I13" s="89">
        <f>'MONTHLY STATS'!$C$68*2</f>
        <v>384400</v>
      </c>
      <c r="J13" s="89">
        <f>'MONTHLY STATS'!$C$76*2</f>
        <v>455924</v>
      </c>
      <c r="K13" s="89">
        <f>'MONTHLY STATS'!$C$84*2</f>
        <v>660278</v>
      </c>
      <c r="L13" s="89">
        <f>'MONTHLY STATS'!$C$92*2</f>
        <v>79152</v>
      </c>
      <c r="M13" s="89">
        <f>'MONTHLY STATS'!$C$100*2</f>
        <v>608408</v>
      </c>
      <c r="N13" s="89">
        <f>'MONTHLY STATS'!$C$108*2</f>
        <v>114994</v>
      </c>
      <c r="O13" s="90">
        <f>SUM(B13:N13)</f>
        <v>4520872</v>
      </c>
      <c r="P13" s="83"/>
    </row>
    <row r="14" spans="1:16" ht="15.75" x14ac:dyDescent="0.25">
      <c r="A14" s="88">
        <f>DATE(2023,11,1)</f>
        <v>45231</v>
      </c>
      <c r="B14" s="89">
        <f>'MONTHLY STATS'!$C$13*2</f>
        <v>352150</v>
      </c>
      <c r="C14" s="89">
        <f>'MONTHLY STATS'!$C$21*2</f>
        <v>178800</v>
      </c>
      <c r="D14" s="89">
        <f>'MONTHLY STATS'!$C$29*2</f>
        <v>100948</v>
      </c>
      <c r="E14" s="89">
        <f>'MONTHLY STATS'!$C$37*2</f>
        <v>577804</v>
      </c>
      <c r="F14" s="89">
        <f>'MONTHLY STATS'!$C$45*2</f>
        <v>336434</v>
      </c>
      <c r="G14" s="89">
        <f>'MONTHLY STATS'!$C$53*2</f>
        <v>153312</v>
      </c>
      <c r="H14" s="89">
        <f>'MONTHLY STATS'!$C$61*2</f>
        <v>470810</v>
      </c>
      <c r="I14" s="89">
        <f>'MONTHLY STATS'!$C$69*2</f>
        <v>394122</v>
      </c>
      <c r="J14" s="89">
        <f>'MONTHLY STATS'!$C$77*2</f>
        <v>448550</v>
      </c>
      <c r="K14" s="89">
        <f>'MONTHLY STATS'!$C$85*2</f>
        <v>675644</v>
      </c>
      <c r="L14" s="89">
        <f>'MONTHLY STATS'!$C$93*2</f>
        <v>77840</v>
      </c>
      <c r="M14" s="89">
        <f>'MONTHLY STATS'!$C$101*2</f>
        <v>614606</v>
      </c>
      <c r="N14" s="89">
        <f>'MONTHLY STATS'!$C$109*2</f>
        <v>115906</v>
      </c>
      <c r="O14" s="90">
        <f>SUM(B14:N14)</f>
        <v>4496926</v>
      </c>
      <c r="P14" s="83"/>
    </row>
    <row r="15" spans="1:16" ht="15.75" x14ac:dyDescent="0.25">
      <c r="A15" s="88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90"/>
      <c r="P15" s="83"/>
    </row>
    <row r="16" spans="1:16" ht="15.75" x14ac:dyDescent="0.25">
      <c r="A16" s="88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90"/>
      <c r="P16" s="83"/>
    </row>
    <row r="17" spans="1:16" ht="15.75" x14ac:dyDescent="0.25">
      <c r="A17" s="88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90"/>
      <c r="P17" s="83"/>
    </row>
    <row r="18" spans="1:16" ht="15.75" x14ac:dyDescent="0.25">
      <c r="A18" s="88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90"/>
      <c r="P18" s="83"/>
    </row>
    <row r="19" spans="1:16" ht="15.75" x14ac:dyDescent="0.25">
      <c r="A19" s="88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90"/>
      <c r="P19" s="83"/>
    </row>
    <row r="20" spans="1:16" ht="15.75" x14ac:dyDescent="0.25">
      <c r="A20" s="88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90"/>
      <c r="P20" s="83"/>
    </row>
    <row r="21" spans="1:16" ht="15.75" x14ac:dyDescent="0.25">
      <c r="A21" s="88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90"/>
      <c r="P21" s="83"/>
    </row>
    <row r="22" spans="1:16" ht="15.75" x14ac:dyDescent="0.2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90"/>
      <c r="P22" s="83"/>
    </row>
    <row r="23" spans="1:16" ht="15.75" x14ac:dyDescent="0.25">
      <c r="A23" s="91" t="s">
        <v>27</v>
      </c>
      <c r="B23" s="90">
        <f t="shared" ref="B23:O23" si="0">SUM(B10:B21)</f>
        <v>1831594</v>
      </c>
      <c r="C23" s="90">
        <f t="shared" si="0"/>
        <v>1002268</v>
      </c>
      <c r="D23" s="90">
        <f t="shared" si="0"/>
        <v>550954</v>
      </c>
      <c r="E23" s="90">
        <f t="shared" si="0"/>
        <v>3154656</v>
      </c>
      <c r="F23" s="90">
        <f t="shared" si="0"/>
        <v>1850266</v>
      </c>
      <c r="G23" s="90">
        <f>SUM(G10:G21)</f>
        <v>840396</v>
      </c>
      <c r="H23" s="90">
        <f t="shared" si="0"/>
        <v>2318936</v>
      </c>
      <c r="I23" s="90">
        <f>SUM(I10:I21)</f>
        <v>2083930</v>
      </c>
      <c r="J23" s="90">
        <f t="shared" si="0"/>
        <v>2403722</v>
      </c>
      <c r="K23" s="90">
        <f>SUM(K10:K21)</f>
        <v>3447796</v>
      </c>
      <c r="L23" s="90">
        <f t="shared" si="0"/>
        <v>398872</v>
      </c>
      <c r="M23" s="90">
        <f t="shared" si="0"/>
        <v>3219846</v>
      </c>
      <c r="N23" s="90">
        <f t="shared" si="0"/>
        <v>614090</v>
      </c>
      <c r="O23" s="90">
        <f t="shared" si="0"/>
        <v>23717326</v>
      </c>
      <c r="P23" s="83"/>
    </row>
    <row r="24" spans="1:16" ht="16.5" thickBot="1" x14ac:dyDescent="0.3">
      <c r="A24" s="92"/>
      <c r="B24" s="90"/>
      <c r="C24" s="90"/>
      <c r="D24" s="90"/>
      <c r="E24" s="89"/>
      <c r="F24" s="89"/>
      <c r="G24" s="89"/>
      <c r="H24" s="89"/>
      <c r="I24" s="89"/>
      <c r="J24" s="90"/>
      <c r="K24" s="90"/>
      <c r="L24" s="90"/>
      <c r="M24" s="90"/>
      <c r="N24" s="90"/>
      <c r="O24" s="90"/>
      <c r="P24" s="83"/>
    </row>
    <row r="25" spans="1:16" ht="15.75" thickTop="1" x14ac:dyDescent="0.2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5"/>
      <c r="L25" s="95"/>
      <c r="M25" s="95"/>
      <c r="N25" s="95"/>
      <c r="O25" s="95"/>
    </row>
    <row r="26" spans="1:16" ht="24" thickBot="1" x14ac:dyDescent="0.4">
      <c r="A26" s="96" t="s">
        <v>28</v>
      </c>
      <c r="B26" s="97"/>
      <c r="C26" s="98"/>
      <c r="D26" s="98"/>
      <c r="E26" s="98"/>
      <c r="F26" s="98"/>
      <c r="G26" s="98"/>
      <c r="H26" s="98"/>
      <c r="I26" s="98"/>
      <c r="J26" s="98"/>
      <c r="K26" s="99"/>
      <c r="L26" s="99"/>
      <c r="M26" s="99"/>
      <c r="N26" s="99"/>
      <c r="O26" s="99"/>
    </row>
    <row r="27" spans="1:16" ht="16.5" thickTop="1" x14ac:dyDescent="0.25">
      <c r="A27" s="100"/>
      <c r="B27" s="101"/>
      <c r="C27" s="101"/>
      <c r="D27" s="101"/>
      <c r="E27" s="102"/>
      <c r="F27" s="102"/>
      <c r="G27" s="102"/>
      <c r="H27" s="102"/>
      <c r="I27" s="102"/>
      <c r="J27" s="101"/>
      <c r="K27" s="103"/>
      <c r="L27" s="103"/>
      <c r="M27" s="103"/>
      <c r="N27" s="103"/>
      <c r="O27" s="104" t="s">
        <v>23</v>
      </c>
      <c r="P27" s="83"/>
    </row>
    <row r="28" spans="1:16" ht="15.75" x14ac:dyDescent="0.25">
      <c r="A28" s="105" t="s">
        <v>24</v>
      </c>
      <c r="B28" s="84" t="s">
        <v>13</v>
      </c>
      <c r="C28" s="84" t="s">
        <v>15</v>
      </c>
      <c r="D28" s="84" t="s">
        <v>62</v>
      </c>
      <c r="E28" s="275" t="s">
        <v>55</v>
      </c>
      <c r="F28" s="84" t="s">
        <v>60</v>
      </c>
      <c r="G28" s="84" t="s">
        <v>63</v>
      </c>
      <c r="H28" s="84" t="s">
        <v>68</v>
      </c>
      <c r="I28" s="84" t="s">
        <v>70</v>
      </c>
      <c r="J28" s="84" t="s">
        <v>25</v>
      </c>
      <c r="K28" s="106" t="s">
        <v>52</v>
      </c>
      <c r="L28" s="106" t="s">
        <v>50</v>
      </c>
      <c r="M28" s="106" t="s">
        <v>17</v>
      </c>
      <c r="N28" s="106" t="s">
        <v>51</v>
      </c>
      <c r="O28" s="106" t="s">
        <v>26</v>
      </c>
      <c r="P28" s="83"/>
    </row>
    <row r="29" spans="1:16" ht="16.5" thickBot="1" x14ac:dyDescent="0.3">
      <c r="A29" s="107"/>
      <c r="B29" s="108"/>
      <c r="C29" s="108"/>
      <c r="D29" s="108"/>
      <c r="E29" s="276"/>
      <c r="F29" s="84"/>
      <c r="G29" s="84"/>
      <c r="H29" s="84"/>
      <c r="I29" s="84"/>
      <c r="J29" s="108"/>
      <c r="K29" s="109"/>
      <c r="L29" s="109"/>
      <c r="M29" s="109"/>
      <c r="N29" s="109"/>
      <c r="O29" s="109"/>
      <c r="P29" s="83"/>
    </row>
    <row r="30" spans="1:16" ht="15.75" thickTop="1" x14ac:dyDescent="0.2">
      <c r="A30" s="110"/>
      <c r="B30" s="111"/>
      <c r="C30" s="111"/>
      <c r="D30" s="111"/>
      <c r="E30" s="112"/>
      <c r="F30" s="112"/>
      <c r="G30" s="112"/>
      <c r="H30" s="112"/>
      <c r="I30" s="112"/>
      <c r="J30" s="111"/>
      <c r="K30" s="113"/>
      <c r="L30" s="113"/>
      <c r="M30" s="113"/>
      <c r="N30" s="113"/>
      <c r="O30" s="113"/>
      <c r="P30" s="83"/>
    </row>
    <row r="31" spans="1:16" ht="15.75" x14ac:dyDescent="0.25">
      <c r="A31" s="88">
        <f>DATE(2023,7,1)</f>
        <v>45108</v>
      </c>
      <c r="B31" s="89">
        <f>'MONTHLY STATS'!$K$9*0.21</f>
        <v>3146216.0687999995</v>
      </c>
      <c r="C31" s="89">
        <f>'MONTHLY STATS'!$K$17*0.21</f>
        <v>1719921.4872000001</v>
      </c>
      <c r="D31" s="89">
        <f>'MONTHLY STATS'!$K$25*0.21</f>
        <v>817934.35290000006</v>
      </c>
      <c r="E31" s="89">
        <f>'MONTHLY STATS'!$K$33*0.21</f>
        <v>4674535.0217999993</v>
      </c>
      <c r="F31" s="89">
        <f>'MONTHLY STATS'!$K$41*0.21</f>
        <v>3228902.0589000001</v>
      </c>
      <c r="G31" s="89">
        <f>'MONTHLY STATS'!$K$49*0.21</f>
        <v>1319580.5342999999</v>
      </c>
      <c r="H31" s="89">
        <f>'MONTHLY STATS'!$K$57*0.21</f>
        <v>2268943.7148000002</v>
      </c>
      <c r="I31" s="89">
        <f>'MONTHLY STATS'!$K$65*0.21</f>
        <v>2947257.6987000001</v>
      </c>
      <c r="J31" s="89">
        <f>'MONTHLY STATS'!$K$73*0.21</f>
        <v>3704387.8221</v>
      </c>
      <c r="K31" s="89">
        <f>'MONTHLY STATS'!$K$81*0.21</f>
        <v>4669398.8481000001</v>
      </c>
      <c r="L31" s="89">
        <f>'MONTHLY STATS'!$K$89*0.21</f>
        <v>667459.5858</v>
      </c>
      <c r="M31" s="89">
        <f>'MONTHLY STATS'!$K$97*0.21</f>
        <v>5390821.3358999994</v>
      </c>
      <c r="N31" s="89">
        <f>'MONTHLY STATS'!$K$105*0.21</f>
        <v>821402.96069999994</v>
      </c>
      <c r="O31" s="90">
        <f>SUM(B31:N31)</f>
        <v>35376761.489999995</v>
      </c>
      <c r="P31" s="83"/>
    </row>
    <row r="32" spans="1:16" ht="15.75" x14ac:dyDescent="0.25">
      <c r="A32" s="88">
        <f>DATE(2023,8,1)</f>
        <v>45139</v>
      </c>
      <c r="B32" s="89">
        <f>'MONTHLY STATS'!$K$10*0.21</f>
        <v>2966696.7791999998</v>
      </c>
      <c r="C32" s="89">
        <f>'MONTHLY STATS'!$K$18*0.21</f>
        <v>1570446.5763000001</v>
      </c>
      <c r="D32" s="89">
        <f>'MONTHLY STATS'!$K$26*0.21</f>
        <v>789048.26909999992</v>
      </c>
      <c r="E32" s="89">
        <f>'MONTHLY STATS'!$K$34*0.21</f>
        <v>4190646.3227999997</v>
      </c>
      <c r="F32" s="89">
        <f>'MONTHLY STATS'!$K$42*0.21</f>
        <v>2955351.3128999998</v>
      </c>
      <c r="G32" s="89">
        <f>'MONTHLY STATS'!$K$50*0.21</f>
        <v>1258922.0027999999</v>
      </c>
      <c r="H32" s="89">
        <f>'MONTHLY STATS'!$K$58*0.21</f>
        <v>2283147.1698000003</v>
      </c>
      <c r="I32" s="89">
        <f>'MONTHLY STATS'!$K$66*0.21</f>
        <v>2743960.2875999999</v>
      </c>
      <c r="J32" s="89">
        <f>'MONTHLY STATS'!$K$74*0.21</f>
        <v>3431592.2823000001</v>
      </c>
      <c r="K32" s="89">
        <f>'MONTHLY STATS'!$K$82*0.21</f>
        <v>4328763.0539999995</v>
      </c>
      <c r="L32" s="89">
        <f>'MONTHLY STATS'!$K$90*0.21</f>
        <v>603333.93329999992</v>
      </c>
      <c r="M32" s="89">
        <f>'MONTHLY STATS'!$K$98*0.21</f>
        <v>4902681.9807000002</v>
      </c>
      <c r="N32" s="89">
        <f>'MONTHLY STATS'!$K$106*0.21</f>
        <v>811071.1287</v>
      </c>
      <c r="O32" s="90">
        <f>SUM(B32:N32)</f>
        <v>32835661.0995</v>
      </c>
      <c r="P32" s="83"/>
    </row>
    <row r="33" spans="1:16" ht="15.75" x14ac:dyDescent="0.25">
      <c r="A33" s="88">
        <f>DATE(2023,9,1)</f>
        <v>45170</v>
      </c>
      <c r="B33" s="89">
        <f>'MONTHLY STATS'!$K$11*0.21</f>
        <v>2684662.0877999999</v>
      </c>
      <c r="C33" s="89">
        <f>'MONTHLY STATS'!$K$19*0.21</f>
        <v>1512997.5902999998</v>
      </c>
      <c r="D33" s="89">
        <f>'MONTHLY STATS'!$K$27*0.21</f>
        <v>844931.44259999995</v>
      </c>
      <c r="E33" s="89">
        <f>'MONTHLY STATS'!$K$35*0.21</f>
        <v>4303547.5833000001</v>
      </c>
      <c r="F33" s="89">
        <f>'MONTHLY STATS'!$K$43*0.21</f>
        <v>2904963.7407</v>
      </c>
      <c r="G33" s="89">
        <f>'MONTHLY STATS'!$K$51*0.21</f>
        <v>1096871.5023000001</v>
      </c>
      <c r="H33" s="89">
        <f>'MONTHLY STATS'!$K$59*0.21</f>
        <v>2467521.0587999998</v>
      </c>
      <c r="I33" s="89">
        <f>'MONTHLY STATS'!$K$67*0.21</f>
        <v>2863533.4391999999</v>
      </c>
      <c r="J33" s="89">
        <f>'MONTHLY STATS'!$K$75*0.21</f>
        <v>3539927.4372</v>
      </c>
      <c r="K33" s="89">
        <f>'MONTHLY STATS'!$K$83*0.21</f>
        <v>4523369.9385000002</v>
      </c>
      <c r="L33" s="89">
        <f>'MONTHLY STATS'!$K$91*0.21</f>
        <v>603992.21609999996</v>
      </c>
      <c r="M33" s="89">
        <f>'MONTHLY STATS'!$K$99*0.21</f>
        <v>5166807.4521000003</v>
      </c>
      <c r="N33" s="89">
        <f>'MONTHLY STATS'!$K$107*0.21</f>
        <v>785676.32849999995</v>
      </c>
      <c r="O33" s="90">
        <f>SUM(B33:N33)</f>
        <v>33298801.817399997</v>
      </c>
      <c r="P33" s="83"/>
    </row>
    <row r="34" spans="1:16" ht="15.75" x14ac:dyDescent="0.25">
      <c r="A34" s="88">
        <f>DATE(2023,10,1)</f>
        <v>45200</v>
      </c>
      <c r="B34" s="89">
        <f>'MONTHLY STATS'!$K$12*0.21</f>
        <v>2701032.6566999997</v>
      </c>
      <c r="C34" s="89">
        <f>'MONTHLY STATS'!$K$20*0.21</f>
        <v>1371526.7223</v>
      </c>
      <c r="D34" s="89">
        <f>'MONTHLY STATS'!$K$28*0.21</f>
        <v>777349.62899999996</v>
      </c>
      <c r="E34" s="89">
        <f>'MONTHLY STATS'!$K$36*0.21</f>
        <v>4064720.5997999995</v>
      </c>
      <c r="F34" s="89">
        <f>'MONTHLY STATS'!$K$44*0.21</f>
        <v>2814623.5781999999</v>
      </c>
      <c r="G34" s="89">
        <f>'MONTHLY STATS'!$K$52*0.21</f>
        <v>1101098.6049000002</v>
      </c>
      <c r="H34" s="89">
        <f>'MONTHLY STATS'!$K$60*0.21</f>
        <v>2478422.0201999997</v>
      </c>
      <c r="I34" s="89">
        <f>'MONTHLY STATS'!$K$68*0.21</f>
        <v>2430873.3078000001</v>
      </c>
      <c r="J34" s="89">
        <f>'MONTHLY STATS'!$K$76*0.21</f>
        <v>3345843.1041000001</v>
      </c>
      <c r="K34" s="89">
        <f>'MONTHLY STATS'!$K$84*0.21</f>
        <v>4155760.0769999996</v>
      </c>
      <c r="L34" s="89">
        <f>'MONTHLY STATS'!$K$92*0.21</f>
        <v>648912.18629999994</v>
      </c>
      <c r="M34" s="89">
        <f>'MONTHLY STATS'!$K$100*0.21</f>
        <v>4966779.1592999995</v>
      </c>
      <c r="N34" s="89">
        <f>'MONTHLY STATS'!$K$108*0.21</f>
        <v>743898.00659999996</v>
      </c>
      <c r="O34" s="90">
        <f>SUM(B34:N34)</f>
        <v>31600839.652199995</v>
      </c>
      <c r="P34" s="83"/>
    </row>
    <row r="35" spans="1:16" ht="15.75" x14ac:dyDescent="0.25">
      <c r="A35" s="88">
        <f>DATE(2023,11,1)</f>
        <v>45231</v>
      </c>
      <c r="B35" s="89">
        <f>'MONTHLY STATS'!$K$13*0.21</f>
        <v>2650326.1154999998</v>
      </c>
      <c r="C35" s="89">
        <f>'MONTHLY STATS'!$K$21*0.21</f>
        <v>1426649.6768999998</v>
      </c>
      <c r="D35" s="89">
        <f>'MONTHLY STATS'!$K$29*0.21</f>
        <v>752874.89339999994</v>
      </c>
      <c r="E35" s="89">
        <f>'MONTHLY STATS'!$K$37*0.21</f>
        <v>4139318.5617</v>
      </c>
      <c r="F35" s="89">
        <f>'MONTHLY STATS'!$K$45*0.21</f>
        <v>2664497.5496999999</v>
      </c>
      <c r="G35" s="89">
        <f>'MONTHLY STATS'!$K$53*0.21</f>
        <v>1095222.4668000001</v>
      </c>
      <c r="H35" s="89">
        <f>'MONTHLY STATS'!$K$61*0.21</f>
        <v>2433806.1908999998</v>
      </c>
      <c r="I35" s="89">
        <f>'MONTHLY STATS'!$K$69*0.21</f>
        <v>2525556.2976000002</v>
      </c>
      <c r="J35" s="89">
        <f>'MONTHLY STATS'!$K$77*0.21</f>
        <v>3087729.1641000002</v>
      </c>
      <c r="K35" s="89">
        <f>'MONTHLY STATS'!$K$85*0.21</f>
        <v>4242167.8067999994</v>
      </c>
      <c r="L35" s="89">
        <f>'MONTHLY STATS'!$K$93*0.21</f>
        <v>579577.9584</v>
      </c>
      <c r="M35" s="89">
        <f>'MONTHLY STATS'!$K$101*0.21</f>
        <v>4635585.1227000002</v>
      </c>
      <c r="N35" s="89">
        <f>'MONTHLY STATS'!$K$109*0.21</f>
        <v>765300.58919999993</v>
      </c>
      <c r="O35" s="90">
        <f>SUM(B35:N35)</f>
        <v>30998612.3937</v>
      </c>
      <c r="P35" s="83"/>
    </row>
    <row r="36" spans="1:16" ht="15.75" x14ac:dyDescent="0.25">
      <c r="A36" s="88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90"/>
      <c r="P36" s="83"/>
    </row>
    <row r="37" spans="1:16" ht="15.75" x14ac:dyDescent="0.25">
      <c r="A37" s="88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90"/>
      <c r="P37" s="83"/>
    </row>
    <row r="38" spans="1:16" ht="15.75" x14ac:dyDescent="0.25">
      <c r="A38" s="88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90"/>
      <c r="P38" s="83"/>
    </row>
    <row r="39" spans="1:16" ht="15.75" x14ac:dyDescent="0.25">
      <c r="A39" s="88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90"/>
      <c r="P39" s="83"/>
    </row>
    <row r="40" spans="1:16" ht="15.75" x14ac:dyDescent="0.25">
      <c r="A40" s="88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90"/>
      <c r="P40" s="83"/>
    </row>
    <row r="41" spans="1:16" ht="15.75" x14ac:dyDescent="0.25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90"/>
      <c r="P41" s="83"/>
    </row>
    <row r="42" spans="1:16" ht="15.75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90"/>
      <c r="P42" s="83"/>
    </row>
    <row r="43" spans="1:16" ht="15.75" x14ac:dyDescent="0.25">
      <c r="A43" s="88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90"/>
      <c r="P43" s="83"/>
    </row>
    <row r="44" spans="1:16" ht="15.75" x14ac:dyDescent="0.25">
      <c r="A44" s="91" t="s">
        <v>27</v>
      </c>
      <c r="B44" s="90">
        <f t="shared" ref="B44:O44" si="1">SUM(B31:B42)</f>
        <v>14148933.707999999</v>
      </c>
      <c r="C44" s="90">
        <f t="shared" si="1"/>
        <v>7601542.0529999994</v>
      </c>
      <c r="D44" s="90">
        <f t="shared" si="1"/>
        <v>3982138.5869999998</v>
      </c>
      <c r="E44" s="90">
        <f t="shared" si="1"/>
        <v>21372768.089400001</v>
      </c>
      <c r="F44" s="90">
        <f t="shared" si="1"/>
        <v>14568338.2404</v>
      </c>
      <c r="G44" s="90">
        <f t="shared" si="1"/>
        <v>5871695.1111000013</v>
      </c>
      <c r="H44" s="90">
        <f t="shared" si="1"/>
        <v>11931840.1545</v>
      </c>
      <c r="I44" s="90">
        <f>SUM(I31:I42)</f>
        <v>13511181.030900002</v>
      </c>
      <c r="J44" s="90">
        <f t="shared" si="1"/>
        <v>17109479.809799999</v>
      </c>
      <c r="K44" s="90">
        <f>SUM(K31:K42)</f>
        <v>21919459.724399999</v>
      </c>
      <c r="L44" s="90">
        <f t="shared" si="1"/>
        <v>3103275.8799000001</v>
      </c>
      <c r="M44" s="90">
        <f t="shared" si="1"/>
        <v>25062675.050700001</v>
      </c>
      <c r="N44" s="90">
        <f t="shared" si="1"/>
        <v>3927349.0136999995</v>
      </c>
      <c r="O44" s="90">
        <f t="shared" si="1"/>
        <v>164110676.45279998</v>
      </c>
      <c r="P44" s="83"/>
    </row>
    <row r="45" spans="1:16" ht="16.5" thickBot="1" x14ac:dyDescent="0.3">
      <c r="A45" s="92"/>
      <c r="B45" s="90"/>
      <c r="C45" s="90"/>
      <c r="D45" s="90"/>
      <c r="E45" s="89"/>
      <c r="F45" s="89"/>
      <c r="G45" s="89"/>
      <c r="H45" s="89"/>
      <c r="I45" s="89"/>
      <c r="J45" s="90"/>
      <c r="K45" s="90"/>
      <c r="L45" s="90"/>
      <c r="M45" s="90"/>
      <c r="N45" s="90"/>
      <c r="O45" s="90"/>
      <c r="P45" s="83"/>
    </row>
    <row r="46" spans="1:16" ht="15.75" thickTop="1" x14ac:dyDescent="0.2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6" x14ac:dyDescent="0.2">
      <c r="A47" s="288"/>
      <c r="B47" s="287"/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</row>
    <row r="48" spans="1:16" ht="15.75" x14ac:dyDescent="0.25">
      <c r="A48" s="115" t="s">
        <v>29</v>
      </c>
      <c r="B48" s="98"/>
      <c r="C48" s="98"/>
      <c r="D48" s="98"/>
      <c r="E48" s="98"/>
      <c r="F48" s="98"/>
      <c r="G48" s="98"/>
      <c r="H48" s="98"/>
      <c r="I48" s="98"/>
    </row>
    <row r="49" spans="1:9" ht="15.75" x14ac:dyDescent="0.25">
      <c r="A49" s="115"/>
      <c r="B49" s="98"/>
      <c r="C49" s="98"/>
      <c r="D49" s="98"/>
      <c r="E49" s="98"/>
      <c r="F49" s="98"/>
      <c r="G49" s="98"/>
      <c r="H49" s="98"/>
      <c r="I49" s="98"/>
    </row>
    <row r="50" spans="1:9" ht="15.75" x14ac:dyDescent="0.25">
      <c r="A50" s="72"/>
    </row>
  </sheetData>
  <phoneticPr fontId="0" type="noConversion"/>
  <printOptions horizontalCentered="1"/>
  <pageMargins left="0.3" right="0.05" top="0.31944444444444398" bottom="0.25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18"/>
  <sheetViews>
    <sheetView showOutlineSymbols="0" zoomScaleNormal="100" workbookViewId="0">
      <selection activeCell="B9" sqref="B9"/>
    </sheetView>
  </sheetViews>
  <sheetFormatPr defaultColWidth="9.6640625" defaultRowHeight="15" x14ac:dyDescent="0.2"/>
  <cols>
    <col min="1" max="1" width="27.6640625" style="118" customWidth="1"/>
    <col min="2" max="2" width="9.6640625" style="118" customWidth="1"/>
    <col min="3" max="3" width="16.6640625" style="209" customWidth="1"/>
    <col min="4" max="5" width="15.6640625" style="209" customWidth="1"/>
    <col min="6" max="6" width="9.6640625" style="118" customWidth="1"/>
    <col min="7" max="7" width="10.5546875" style="221" customWidth="1"/>
    <col min="8" max="16384" width="9.6640625" style="118"/>
  </cols>
  <sheetData>
    <row r="1" spans="1:8" ht="18" x14ac:dyDescent="0.25">
      <c r="A1" s="116" t="s">
        <v>0</v>
      </c>
      <c r="B1" s="117"/>
      <c r="C1" s="200"/>
      <c r="D1" s="200"/>
      <c r="E1" s="200"/>
      <c r="F1" s="117"/>
      <c r="G1" s="210"/>
    </row>
    <row r="2" spans="1:8" ht="18" customHeight="1" x14ac:dyDescent="0.3">
      <c r="A2" s="119" t="s">
        <v>30</v>
      </c>
      <c r="B2" s="117"/>
      <c r="C2" s="200"/>
      <c r="D2" s="200"/>
      <c r="E2" s="200"/>
      <c r="F2" s="117"/>
      <c r="G2" s="210"/>
    </row>
    <row r="3" spans="1:8" ht="18" customHeight="1" x14ac:dyDescent="0.25">
      <c r="A3" s="283" t="s">
        <v>74</v>
      </c>
      <c r="B3" s="117"/>
      <c r="C3" s="200"/>
      <c r="D3" s="200"/>
      <c r="E3" s="200"/>
      <c r="F3" s="117"/>
      <c r="G3" s="210"/>
    </row>
    <row r="4" spans="1:8" x14ac:dyDescent="0.2">
      <c r="A4" s="284" t="s">
        <v>78</v>
      </c>
      <c r="B4" s="117"/>
      <c r="C4" s="200"/>
      <c r="D4" s="200"/>
      <c r="E4" s="200"/>
      <c r="F4" s="117"/>
      <c r="G4" s="210"/>
    </row>
    <row r="5" spans="1:8" ht="15.75" x14ac:dyDescent="0.25">
      <c r="A5" s="117"/>
      <c r="B5" s="117"/>
      <c r="C5" s="200"/>
      <c r="D5" s="200"/>
      <c r="E5" s="200"/>
      <c r="F5" s="117"/>
      <c r="G5" s="211" t="s">
        <v>1</v>
      </c>
    </row>
    <row r="6" spans="1:8" ht="16.5" thickTop="1" x14ac:dyDescent="0.25">
      <c r="A6" s="120"/>
      <c r="B6" s="121" t="s">
        <v>2</v>
      </c>
      <c r="C6" s="201" t="s">
        <v>31</v>
      </c>
      <c r="D6" s="201" t="s">
        <v>31</v>
      </c>
      <c r="E6" s="201" t="s">
        <v>3</v>
      </c>
      <c r="F6" s="122"/>
      <c r="G6" s="212" t="s">
        <v>32</v>
      </c>
      <c r="H6" s="123"/>
    </row>
    <row r="7" spans="1:8" ht="16.5" thickBot="1" x14ac:dyDescent="0.3">
      <c r="A7" s="124" t="s">
        <v>5</v>
      </c>
      <c r="B7" s="125" t="s">
        <v>6</v>
      </c>
      <c r="C7" s="262" t="s">
        <v>33</v>
      </c>
      <c r="D7" s="202" t="s">
        <v>34</v>
      </c>
      <c r="E7" s="202" t="s">
        <v>34</v>
      </c>
      <c r="F7" s="126" t="s">
        <v>8</v>
      </c>
      <c r="G7" s="213" t="s">
        <v>35</v>
      </c>
      <c r="H7" s="123"/>
    </row>
    <row r="8" spans="1:8" ht="15.75" customHeight="1" thickTop="1" x14ac:dyDescent="0.25">
      <c r="A8" s="127"/>
      <c r="B8" s="128"/>
      <c r="C8" s="203"/>
      <c r="D8" s="203"/>
      <c r="E8" s="203"/>
      <c r="F8" s="129"/>
      <c r="G8" s="214"/>
      <c r="H8" s="123"/>
    </row>
    <row r="9" spans="1:8" ht="15.75" x14ac:dyDescent="0.25">
      <c r="A9" s="130" t="s">
        <v>36</v>
      </c>
      <c r="B9" s="131">
        <f>DATE(2023,7,1)</f>
        <v>45108</v>
      </c>
      <c r="C9" s="204">
        <v>17140378</v>
      </c>
      <c r="D9" s="204">
        <v>2756909.5</v>
      </c>
      <c r="E9" s="204">
        <v>3018310</v>
      </c>
      <c r="F9" s="132">
        <f>(+D9-E9)/E9</f>
        <v>-8.6604921297017204E-2</v>
      </c>
      <c r="G9" s="215">
        <f>D9/C9</f>
        <v>0.16084298140916145</v>
      </c>
      <c r="H9" s="123"/>
    </row>
    <row r="10" spans="1:8" ht="15.75" x14ac:dyDescent="0.25">
      <c r="A10" s="130"/>
      <c r="B10" s="131">
        <f>DATE(2023,8,1)</f>
        <v>45139</v>
      </c>
      <c r="C10" s="204">
        <v>15153020</v>
      </c>
      <c r="D10" s="204">
        <v>2981923.5</v>
      </c>
      <c r="E10" s="204">
        <v>3237681.85</v>
      </c>
      <c r="F10" s="132">
        <f>(+D10-E10)/E10</f>
        <v>-7.8994281047101669E-2</v>
      </c>
      <c r="G10" s="215">
        <f>D10/C10</f>
        <v>0.19678740607482864</v>
      </c>
      <c r="H10" s="123"/>
    </row>
    <row r="11" spans="1:8" ht="15.75" x14ac:dyDescent="0.25">
      <c r="A11" s="130"/>
      <c r="B11" s="131">
        <f>DATE(2023,9,1)</f>
        <v>45170</v>
      </c>
      <c r="C11" s="204">
        <v>15570607</v>
      </c>
      <c r="D11" s="204">
        <v>1895240.5</v>
      </c>
      <c r="E11" s="204">
        <v>2018642</v>
      </c>
      <c r="F11" s="132">
        <f>(+D11-E11)/E11</f>
        <v>-6.1130948429686888E-2</v>
      </c>
      <c r="G11" s="215">
        <f>D11/C11</f>
        <v>0.12171911473971439</v>
      </c>
      <c r="H11" s="123"/>
    </row>
    <row r="12" spans="1:8" ht="15.75" x14ac:dyDescent="0.25">
      <c r="A12" s="130"/>
      <c r="B12" s="131">
        <f>DATE(2023,10,1)</f>
        <v>45200</v>
      </c>
      <c r="C12" s="204">
        <v>16463924</v>
      </c>
      <c r="D12" s="204">
        <v>2575274</v>
      </c>
      <c r="E12" s="204">
        <v>2709321</v>
      </c>
      <c r="F12" s="132">
        <f>(+D12-E12)/E12</f>
        <v>-4.9476234082266368E-2</v>
      </c>
      <c r="G12" s="215">
        <f>D12/C12</f>
        <v>0.15641921087585195</v>
      </c>
      <c r="H12" s="123"/>
    </row>
    <row r="13" spans="1:8" ht="15.75" x14ac:dyDescent="0.25">
      <c r="A13" s="130"/>
      <c r="B13" s="131">
        <f>DATE(2023,11,1)</f>
        <v>45231</v>
      </c>
      <c r="C13" s="204">
        <v>14441930</v>
      </c>
      <c r="D13" s="204">
        <v>1924101</v>
      </c>
      <c r="E13" s="204">
        <v>2936554</v>
      </c>
      <c r="F13" s="132">
        <f>(+D13-E13)/E13</f>
        <v>-0.34477588356965339</v>
      </c>
      <c r="G13" s="215">
        <f>D13/C13</f>
        <v>0.13323018460828989</v>
      </c>
      <c r="H13" s="123"/>
    </row>
    <row r="14" spans="1:8" ht="15.75" thickBot="1" x14ac:dyDescent="0.25">
      <c r="A14" s="133"/>
      <c r="B14" s="134"/>
      <c r="C14" s="204"/>
      <c r="D14" s="204"/>
      <c r="E14" s="204"/>
      <c r="F14" s="132"/>
      <c r="G14" s="215"/>
      <c r="H14" s="123"/>
    </row>
    <row r="15" spans="1:8" ht="17.25" thickTop="1" thickBot="1" x14ac:dyDescent="0.3">
      <c r="A15" s="135" t="s">
        <v>14</v>
      </c>
      <c r="B15" s="136"/>
      <c r="C15" s="201">
        <f>SUM(C9:C14)</f>
        <v>78769859</v>
      </c>
      <c r="D15" s="201">
        <f>SUM(D9:D14)</f>
        <v>12133448.5</v>
      </c>
      <c r="E15" s="201">
        <f>SUM(E9:E14)</f>
        <v>13920508.85</v>
      </c>
      <c r="F15" s="137">
        <f>(+D15-E15)/E15</f>
        <v>-0.12837607944195228</v>
      </c>
      <c r="G15" s="212">
        <f>D15/C15</f>
        <v>0.15403669187728267</v>
      </c>
      <c r="H15" s="123"/>
    </row>
    <row r="16" spans="1:8" ht="15.75" customHeight="1" thickTop="1" x14ac:dyDescent="0.25">
      <c r="A16" s="138"/>
      <c r="B16" s="139"/>
      <c r="C16" s="205"/>
      <c r="D16" s="205"/>
      <c r="E16" s="205"/>
      <c r="F16" s="140"/>
      <c r="G16" s="216"/>
      <c r="H16" s="123"/>
    </row>
    <row r="17" spans="1:8" ht="15.75" x14ac:dyDescent="0.25">
      <c r="A17" s="19" t="s">
        <v>15</v>
      </c>
      <c r="B17" s="131">
        <f>DATE(2023,7,1)</f>
        <v>45108</v>
      </c>
      <c r="C17" s="204">
        <v>2471937</v>
      </c>
      <c r="D17" s="204">
        <v>614728</v>
      </c>
      <c r="E17" s="204">
        <v>637839.5</v>
      </c>
      <c r="F17" s="132">
        <f>(+D17-E17)/E17</f>
        <v>-3.62340369324885E-2</v>
      </c>
      <c r="G17" s="215">
        <f>D17/C17</f>
        <v>0.24868271319212423</v>
      </c>
      <c r="H17" s="123"/>
    </row>
    <row r="18" spans="1:8" ht="15.75" x14ac:dyDescent="0.25">
      <c r="A18" s="19"/>
      <c r="B18" s="131">
        <f>DATE(2023,8,1)</f>
        <v>45139</v>
      </c>
      <c r="C18" s="204">
        <v>2248291</v>
      </c>
      <c r="D18" s="204">
        <v>388628</v>
      </c>
      <c r="E18" s="204">
        <v>695761.5</v>
      </c>
      <c r="F18" s="132">
        <f>(+D18-E18)/E18</f>
        <v>-0.44143503197575606</v>
      </c>
      <c r="G18" s="215">
        <f>D18/C18</f>
        <v>0.17285484841597462</v>
      </c>
      <c r="H18" s="123"/>
    </row>
    <row r="19" spans="1:8" ht="15.75" x14ac:dyDescent="0.25">
      <c r="A19" s="19"/>
      <c r="B19" s="131">
        <f>DATE(2023,9,1)</f>
        <v>45170</v>
      </c>
      <c r="C19" s="204">
        <v>2515175</v>
      </c>
      <c r="D19" s="204">
        <v>596033.5</v>
      </c>
      <c r="E19" s="204">
        <v>780368</v>
      </c>
      <c r="F19" s="132">
        <f>(+D19-E19)/E19</f>
        <v>-0.23621483710249525</v>
      </c>
      <c r="G19" s="215">
        <f>D19/C19</f>
        <v>0.23697496198077669</v>
      </c>
      <c r="H19" s="123"/>
    </row>
    <row r="20" spans="1:8" ht="15.75" x14ac:dyDescent="0.25">
      <c r="A20" s="19"/>
      <c r="B20" s="131">
        <f>DATE(2023,10,1)</f>
        <v>45200</v>
      </c>
      <c r="C20" s="204">
        <v>2462749</v>
      </c>
      <c r="D20" s="204">
        <v>457507</v>
      </c>
      <c r="E20" s="204">
        <v>868243</v>
      </c>
      <c r="F20" s="132">
        <f>(+D20-E20)/E20</f>
        <v>-0.47306572008066866</v>
      </c>
      <c r="G20" s="215">
        <f>D20/C20</f>
        <v>0.18577086012419455</v>
      </c>
      <c r="H20" s="123"/>
    </row>
    <row r="21" spans="1:8" ht="15.75" x14ac:dyDescent="0.25">
      <c r="A21" s="19"/>
      <c r="B21" s="131">
        <f>DATE(2023,11,1)</f>
        <v>45231</v>
      </c>
      <c r="C21" s="204">
        <v>2333327</v>
      </c>
      <c r="D21" s="204">
        <v>573968</v>
      </c>
      <c r="E21" s="204">
        <v>714136.5</v>
      </c>
      <c r="F21" s="132">
        <f>(+D21-E21)/E21</f>
        <v>-0.19627690224487895</v>
      </c>
      <c r="G21" s="215">
        <f>D21/C21</f>
        <v>0.24598695339315921</v>
      </c>
      <c r="H21" s="123"/>
    </row>
    <row r="22" spans="1:8" ht="15.75" thickBot="1" x14ac:dyDescent="0.25">
      <c r="A22" s="133"/>
      <c r="B22" s="131"/>
      <c r="C22" s="204"/>
      <c r="D22" s="204"/>
      <c r="E22" s="204"/>
      <c r="F22" s="132"/>
      <c r="G22" s="215"/>
      <c r="H22" s="123"/>
    </row>
    <row r="23" spans="1:8" ht="17.25" thickTop="1" thickBot="1" x14ac:dyDescent="0.3">
      <c r="A23" s="135" t="s">
        <v>14</v>
      </c>
      <c r="B23" s="136"/>
      <c r="C23" s="201">
        <f>SUM(C17:C22)</f>
        <v>12031479</v>
      </c>
      <c r="D23" s="201">
        <f>SUM(D17:D22)</f>
        <v>2630864.5</v>
      </c>
      <c r="E23" s="201">
        <f>SUM(E17:E22)</f>
        <v>3696348.5</v>
      </c>
      <c r="F23" s="137">
        <f>(+D23-E23)/E23</f>
        <v>-0.28825312331886455</v>
      </c>
      <c r="G23" s="212">
        <f>D23/C23</f>
        <v>0.21866509512255308</v>
      </c>
      <c r="H23" s="123"/>
    </row>
    <row r="24" spans="1:8" ht="15.75" customHeight="1" thickTop="1" x14ac:dyDescent="0.25">
      <c r="A24" s="255"/>
      <c r="B24" s="139"/>
      <c r="C24" s="205"/>
      <c r="D24" s="205"/>
      <c r="E24" s="205"/>
      <c r="F24" s="140"/>
      <c r="G24" s="219"/>
      <c r="H24" s="123"/>
    </row>
    <row r="25" spans="1:8" ht="15.75" x14ac:dyDescent="0.25">
      <c r="A25" s="19" t="s">
        <v>62</v>
      </c>
      <c r="B25" s="131">
        <f>DATE(2023,7,1)</f>
        <v>45108</v>
      </c>
      <c r="C25" s="204">
        <v>1300276</v>
      </c>
      <c r="D25" s="204">
        <v>166322.5</v>
      </c>
      <c r="E25" s="204">
        <v>249087.5</v>
      </c>
      <c r="F25" s="132">
        <f>(+D25-E25)/E25</f>
        <v>-0.33227279570432078</v>
      </c>
      <c r="G25" s="215">
        <f>D25/C25</f>
        <v>0.12791322765320592</v>
      </c>
      <c r="H25" s="123"/>
    </row>
    <row r="26" spans="1:8" ht="15.75" x14ac:dyDescent="0.25">
      <c r="A26" s="19"/>
      <c r="B26" s="131">
        <f>DATE(2023,8,1)</f>
        <v>45139</v>
      </c>
      <c r="C26" s="204">
        <v>1380793</v>
      </c>
      <c r="D26" s="204">
        <v>264487</v>
      </c>
      <c r="E26" s="204">
        <v>272495.5</v>
      </c>
      <c r="F26" s="132">
        <f>(+D26-E26)/E26</f>
        <v>-2.9389476156486988E-2</v>
      </c>
      <c r="G26" s="215">
        <f>D26/C26</f>
        <v>0.19154717615167516</v>
      </c>
      <c r="H26" s="123"/>
    </row>
    <row r="27" spans="1:8" ht="15.75" x14ac:dyDescent="0.25">
      <c r="A27" s="19"/>
      <c r="B27" s="131">
        <f>DATE(2023,9,1)</f>
        <v>45170</v>
      </c>
      <c r="C27" s="204">
        <v>1331049</v>
      </c>
      <c r="D27" s="204">
        <v>353812</v>
      </c>
      <c r="E27" s="204">
        <v>310850</v>
      </c>
      <c r="F27" s="132">
        <f>(+D27-E27)/E27</f>
        <v>0.13820813897378156</v>
      </c>
      <c r="G27" s="215">
        <f>D27/C27</f>
        <v>0.26581440653199095</v>
      </c>
      <c r="H27" s="123"/>
    </row>
    <row r="28" spans="1:8" ht="15.75" x14ac:dyDescent="0.25">
      <c r="A28" s="19"/>
      <c r="B28" s="131">
        <f>DATE(2023,10,1)</f>
        <v>45200</v>
      </c>
      <c r="C28" s="204">
        <v>1247669</v>
      </c>
      <c r="D28" s="204">
        <v>292380</v>
      </c>
      <c r="E28" s="204">
        <v>204149.5</v>
      </c>
      <c r="F28" s="132">
        <f>(+D28-E28)/E28</f>
        <v>0.43218572663660698</v>
      </c>
      <c r="G28" s="215">
        <f>D28/C28</f>
        <v>0.23434099909511258</v>
      </c>
      <c r="H28" s="123"/>
    </row>
    <row r="29" spans="1:8" ht="15.75" x14ac:dyDescent="0.25">
      <c r="A29" s="19"/>
      <c r="B29" s="131">
        <f>DATE(2023,11,1)</f>
        <v>45231</v>
      </c>
      <c r="C29" s="204">
        <v>1223816</v>
      </c>
      <c r="D29" s="204">
        <v>305629</v>
      </c>
      <c r="E29" s="204">
        <v>292609</v>
      </c>
      <c r="F29" s="132">
        <f>(+D29-E29)/E29</f>
        <v>4.4496239008369527E-2</v>
      </c>
      <c r="G29" s="215">
        <f>D29/C29</f>
        <v>0.24973443720297822</v>
      </c>
      <c r="H29" s="123"/>
    </row>
    <row r="30" spans="1:8" ht="15.75" thickBot="1" x14ac:dyDescent="0.25">
      <c r="A30" s="133"/>
      <c r="B30" s="131"/>
      <c r="C30" s="204"/>
      <c r="D30" s="204"/>
      <c r="E30" s="204"/>
      <c r="F30" s="132"/>
      <c r="G30" s="215"/>
      <c r="H30" s="123"/>
    </row>
    <row r="31" spans="1:8" ht="17.25" thickTop="1" thickBot="1" x14ac:dyDescent="0.3">
      <c r="A31" s="141" t="s">
        <v>14</v>
      </c>
      <c r="B31" s="142"/>
      <c r="C31" s="206">
        <f>SUM(C25:C30)</f>
        <v>6483603</v>
      </c>
      <c r="D31" s="206">
        <f>SUM(D25:D30)</f>
        <v>1382630.5</v>
      </c>
      <c r="E31" s="206">
        <f>SUM(E25:E30)</f>
        <v>1329191.5</v>
      </c>
      <c r="F31" s="143">
        <f>(+D31-E31)/E31</f>
        <v>4.0204139132698338E-2</v>
      </c>
      <c r="G31" s="217">
        <f>D31/C31</f>
        <v>0.21325033318665562</v>
      </c>
      <c r="H31" s="123"/>
    </row>
    <row r="32" spans="1:8" ht="15.75" thickTop="1" x14ac:dyDescent="0.2">
      <c r="A32" s="133"/>
      <c r="B32" s="134"/>
      <c r="C32" s="204"/>
      <c r="D32" s="204"/>
      <c r="E32" s="204"/>
      <c r="F32" s="132"/>
      <c r="G32" s="218"/>
      <c r="H32" s="123"/>
    </row>
    <row r="33" spans="1:8" ht="15.75" x14ac:dyDescent="0.25">
      <c r="A33" s="177" t="s">
        <v>58</v>
      </c>
      <c r="B33" s="131">
        <f>DATE(2023,7,1)</f>
        <v>45108</v>
      </c>
      <c r="C33" s="204">
        <v>17665032</v>
      </c>
      <c r="D33" s="204">
        <v>3803022</v>
      </c>
      <c r="E33" s="204">
        <v>3390213</v>
      </c>
      <c r="F33" s="132">
        <f>(+D33-E33)/E33</f>
        <v>0.12176491565574199</v>
      </c>
      <c r="G33" s="215">
        <f>D33/C33</f>
        <v>0.21528531621114527</v>
      </c>
      <c r="H33" s="123"/>
    </row>
    <row r="34" spans="1:8" ht="15.75" x14ac:dyDescent="0.25">
      <c r="A34" s="177"/>
      <c r="B34" s="131">
        <f>DATE(2023,8,1)</f>
        <v>45139</v>
      </c>
      <c r="C34" s="204">
        <v>17268495</v>
      </c>
      <c r="D34" s="204">
        <v>2558007.38</v>
      </c>
      <c r="E34" s="204">
        <v>2096973.67</v>
      </c>
      <c r="F34" s="132">
        <f>(+D34-E34)/E34</f>
        <v>0.21985669948826778</v>
      </c>
      <c r="G34" s="215">
        <f>D34/C34</f>
        <v>0.14813146021121121</v>
      </c>
      <c r="H34" s="123"/>
    </row>
    <row r="35" spans="1:8" ht="15.75" x14ac:dyDescent="0.25">
      <c r="A35" s="177"/>
      <c r="B35" s="131">
        <f>DATE(2023,9,1)</f>
        <v>45170</v>
      </c>
      <c r="C35" s="204">
        <v>15882513</v>
      </c>
      <c r="D35" s="204">
        <v>3090684.15</v>
      </c>
      <c r="E35" s="204">
        <v>3937084.53</v>
      </c>
      <c r="F35" s="132">
        <f>(+D35-E35)/E35</f>
        <v>-0.21498151069669819</v>
      </c>
      <c r="G35" s="215">
        <f>D35/C35</f>
        <v>0.19459667056466443</v>
      </c>
      <c r="H35" s="123"/>
    </row>
    <row r="36" spans="1:8" ht="15.75" x14ac:dyDescent="0.25">
      <c r="A36" s="177"/>
      <c r="B36" s="131">
        <f>DATE(2023,10,1)</f>
        <v>45200</v>
      </c>
      <c r="C36" s="204">
        <v>14805478</v>
      </c>
      <c r="D36" s="204">
        <v>2879819</v>
      </c>
      <c r="E36" s="204">
        <v>2819327.04</v>
      </c>
      <c r="F36" s="132">
        <f>(+D36-E36)/E36</f>
        <v>2.1456169909256063E-2</v>
      </c>
      <c r="G36" s="215">
        <f>D36/C36</f>
        <v>0.19451036974287489</v>
      </c>
      <c r="H36" s="123"/>
    </row>
    <row r="37" spans="1:8" ht="15.75" x14ac:dyDescent="0.25">
      <c r="A37" s="177"/>
      <c r="B37" s="131">
        <f>DATE(2023,11,1)</f>
        <v>45231</v>
      </c>
      <c r="C37" s="204">
        <v>14098672</v>
      </c>
      <c r="D37" s="204">
        <v>3291435.87</v>
      </c>
      <c r="E37" s="204">
        <v>2876740.26</v>
      </c>
      <c r="F37" s="132">
        <f>(+D37-E37)/E37</f>
        <v>0.1441546933403019</v>
      </c>
      <c r="G37" s="215">
        <f>D37/C37</f>
        <v>0.23345715610661771</v>
      </c>
      <c r="H37" s="123"/>
    </row>
    <row r="38" spans="1:8" ht="15.75" customHeight="1" thickBot="1" x14ac:dyDescent="0.25">
      <c r="A38" s="133"/>
      <c r="B38" s="134"/>
      <c r="C38" s="204"/>
      <c r="D38" s="204"/>
      <c r="E38" s="204"/>
      <c r="F38" s="132"/>
      <c r="G38" s="215"/>
      <c r="H38" s="123"/>
    </row>
    <row r="39" spans="1:8" ht="17.25" customHeight="1" thickTop="1" thickBot="1" x14ac:dyDescent="0.3">
      <c r="A39" s="141" t="s">
        <v>14</v>
      </c>
      <c r="B39" s="142"/>
      <c r="C39" s="206">
        <f>SUM(C33:C38)</f>
        <v>79720190</v>
      </c>
      <c r="D39" s="206">
        <f>SUM(D33:D38)</f>
        <v>15622968.399999999</v>
      </c>
      <c r="E39" s="206">
        <f>SUM(E33:E38)</f>
        <v>15120338.499999998</v>
      </c>
      <c r="F39" s="143">
        <f>(+D39-E39)/E39</f>
        <v>3.324197404707576E-2</v>
      </c>
      <c r="G39" s="217">
        <f>D39/C39</f>
        <v>0.19597254346734497</v>
      </c>
      <c r="H39" s="123"/>
    </row>
    <row r="40" spans="1:8" ht="15.75" customHeight="1" thickTop="1" x14ac:dyDescent="0.2">
      <c r="A40" s="133"/>
      <c r="B40" s="134"/>
      <c r="C40" s="204"/>
      <c r="D40" s="204"/>
      <c r="E40" s="204"/>
      <c r="F40" s="132"/>
      <c r="G40" s="218"/>
      <c r="H40" s="123"/>
    </row>
    <row r="41" spans="1:8" ht="15" customHeight="1" x14ac:dyDescent="0.25">
      <c r="A41" s="130" t="s">
        <v>60</v>
      </c>
      <c r="B41" s="131">
        <f>DATE(2023,7,1)</f>
        <v>45108</v>
      </c>
      <c r="C41" s="204">
        <v>12723732</v>
      </c>
      <c r="D41" s="204">
        <v>3308388.5</v>
      </c>
      <c r="E41" s="204">
        <v>3195567.5</v>
      </c>
      <c r="F41" s="132">
        <f>(+D41-E41)/E41</f>
        <v>3.5305466087009588E-2</v>
      </c>
      <c r="G41" s="215">
        <f>D41/C41</f>
        <v>0.26001714748471594</v>
      </c>
      <c r="H41" s="123"/>
    </row>
    <row r="42" spans="1:8" ht="15" customHeight="1" x14ac:dyDescent="0.25">
      <c r="A42" s="130"/>
      <c r="B42" s="131">
        <f>DATE(2023,8,1)</f>
        <v>45139</v>
      </c>
      <c r="C42" s="204">
        <v>11628258</v>
      </c>
      <c r="D42" s="204">
        <v>3099426.5</v>
      </c>
      <c r="E42" s="204">
        <v>3909171</v>
      </c>
      <c r="F42" s="132">
        <f>(+D42-E42)/E42</f>
        <v>-0.20713969790525918</v>
      </c>
      <c r="G42" s="215">
        <f>D42/C42</f>
        <v>0.26654263261100675</v>
      </c>
      <c r="H42" s="123"/>
    </row>
    <row r="43" spans="1:8" ht="15" customHeight="1" x14ac:dyDescent="0.25">
      <c r="A43" s="130"/>
      <c r="B43" s="131">
        <f>DATE(2023,9,1)</f>
        <v>45170</v>
      </c>
      <c r="C43" s="204">
        <v>11873656</v>
      </c>
      <c r="D43" s="204">
        <v>3032057</v>
      </c>
      <c r="E43" s="204">
        <v>3778062.5</v>
      </c>
      <c r="F43" s="132">
        <f>(+D43-E43)/E43</f>
        <v>-0.19745716223593443</v>
      </c>
      <c r="G43" s="215">
        <f>D43/C43</f>
        <v>0.25536001716741669</v>
      </c>
      <c r="H43" s="123"/>
    </row>
    <row r="44" spans="1:8" ht="15" customHeight="1" x14ac:dyDescent="0.25">
      <c r="A44" s="130"/>
      <c r="B44" s="131">
        <f>DATE(2023,10,1)</f>
        <v>45200</v>
      </c>
      <c r="C44" s="204">
        <v>12435915</v>
      </c>
      <c r="D44" s="204">
        <v>2838722.5</v>
      </c>
      <c r="E44" s="204">
        <v>1234436</v>
      </c>
      <c r="F44" s="132">
        <f>(+D44-E44)/E44</f>
        <v>1.2996109154302045</v>
      </c>
      <c r="G44" s="215">
        <f>D44/C44</f>
        <v>0.22826808481724103</v>
      </c>
      <c r="H44" s="123"/>
    </row>
    <row r="45" spans="1:8" ht="15" customHeight="1" x14ac:dyDescent="0.25">
      <c r="A45" s="130"/>
      <c r="B45" s="131">
        <f>DATE(2023,11,1)</f>
        <v>45231</v>
      </c>
      <c r="C45" s="204">
        <v>12500603</v>
      </c>
      <c r="D45" s="204">
        <v>2777794</v>
      </c>
      <c r="E45" s="204">
        <v>3487549</v>
      </c>
      <c r="F45" s="132">
        <f>(+D45-E45)/E45</f>
        <v>-0.2035111191269284</v>
      </c>
      <c r="G45" s="215">
        <f>D45/C45</f>
        <v>0.22221280045450609</v>
      </c>
      <c r="H45" s="123"/>
    </row>
    <row r="46" spans="1:8" ht="15.75" thickBot="1" x14ac:dyDescent="0.25">
      <c r="A46" s="133"/>
      <c r="B46" s="131"/>
      <c r="C46" s="204"/>
      <c r="D46" s="204"/>
      <c r="E46" s="204"/>
      <c r="F46" s="132"/>
      <c r="G46" s="215"/>
      <c r="H46" s="123"/>
    </row>
    <row r="47" spans="1:8" ht="17.25" customHeight="1" thickTop="1" thickBot="1" x14ac:dyDescent="0.3">
      <c r="A47" s="141" t="s">
        <v>14</v>
      </c>
      <c r="B47" s="142"/>
      <c r="C47" s="207">
        <f>SUM(C41:C46)</f>
        <v>61162164</v>
      </c>
      <c r="D47" s="261">
        <f>SUM(D41:D46)</f>
        <v>15056388.5</v>
      </c>
      <c r="E47" s="206">
        <f>SUM(E41:E46)</f>
        <v>15604786</v>
      </c>
      <c r="F47" s="268">
        <f>(+D47-E47)/E47</f>
        <v>-3.5142904234636729E-2</v>
      </c>
      <c r="G47" s="267">
        <f>D47/C47</f>
        <v>0.24617161191353532</v>
      </c>
      <c r="H47" s="123"/>
    </row>
    <row r="48" spans="1:8" ht="15.75" customHeight="1" thickTop="1" x14ac:dyDescent="0.25">
      <c r="A48" s="130"/>
      <c r="B48" s="134"/>
      <c r="C48" s="204"/>
      <c r="D48" s="204"/>
      <c r="E48" s="204"/>
      <c r="F48" s="132"/>
      <c r="G48" s="218"/>
      <c r="H48" s="123"/>
    </row>
    <row r="49" spans="1:8" ht="15.75" x14ac:dyDescent="0.25">
      <c r="A49" s="130" t="s">
        <v>64</v>
      </c>
      <c r="B49" s="131">
        <f>DATE(2023,7,1)</f>
        <v>45108</v>
      </c>
      <c r="C49" s="204">
        <v>3361117</v>
      </c>
      <c r="D49" s="204">
        <v>707897</v>
      </c>
      <c r="E49" s="204">
        <v>700930</v>
      </c>
      <c r="F49" s="132">
        <f>(+D49-E49)/E49</f>
        <v>9.9396516057238243E-3</v>
      </c>
      <c r="G49" s="215">
        <f>D49/C49</f>
        <v>0.21061361446209698</v>
      </c>
      <c r="H49" s="123"/>
    </row>
    <row r="50" spans="1:8" ht="15.75" x14ac:dyDescent="0.25">
      <c r="A50" s="130"/>
      <c r="B50" s="131">
        <f>DATE(2023,8,1)</f>
        <v>45139</v>
      </c>
      <c r="C50" s="204">
        <v>2951366</v>
      </c>
      <c r="D50" s="204">
        <v>871889</v>
      </c>
      <c r="E50" s="204">
        <v>630145.5</v>
      </c>
      <c r="F50" s="132">
        <f>(+D50-E50)/E50</f>
        <v>0.38363124072138893</v>
      </c>
      <c r="G50" s="215">
        <f>D50/C50</f>
        <v>0.29541879929497056</v>
      </c>
      <c r="H50" s="123"/>
    </row>
    <row r="51" spans="1:8" ht="15.75" x14ac:dyDescent="0.25">
      <c r="A51" s="130"/>
      <c r="B51" s="131">
        <f>DATE(2023,9,1)</f>
        <v>45170</v>
      </c>
      <c r="C51" s="204">
        <v>2512048</v>
      </c>
      <c r="D51" s="204">
        <v>529240.5</v>
      </c>
      <c r="E51" s="204">
        <v>538940</v>
      </c>
      <c r="F51" s="132">
        <f>(+D51-E51)/E51</f>
        <v>-1.7997365198352322E-2</v>
      </c>
      <c r="G51" s="215">
        <f>D51/C51</f>
        <v>0.21068088667095533</v>
      </c>
      <c r="H51" s="123"/>
    </row>
    <row r="52" spans="1:8" ht="15.75" x14ac:dyDescent="0.25">
      <c r="A52" s="130"/>
      <c r="B52" s="131">
        <f>DATE(2023,10,1)</f>
        <v>45200</v>
      </c>
      <c r="C52" s="204">
        <v>2477871</v>
      </c>
      <c r="D52" s="204">
        <v>555726</v>
      </c>
      <c r="E52" s="204">
        <v>664586</v>
      </c>
      <c r="F52" s="132">
        <f>(+D52-E52)/E52</f>
        <v>-0.16380122361891464</v>
      </c>
      <c r="G52" s="215">
        <f>D52/C52</f>
        <v>0.22427559788221421</v>
      </c>
      <c r="H52" s="123"/>
    </row>
    <row r="53" spans="1:8" ht="15.75" x14ac:dyDescent="0.25">
      <c r="A53" s="130"/>
      <c r="B53" s="131">
        <f>DATE(2023,11,1)</f>
        <v>45231</v>
      </c>
      <c r="C53" s="204">
        <v>2620270</v>
      </c>
      <c r="D53" s="204">
        <v>618313.5</v>
      </c>
      <c r="E53" s="204">
        <v>644592.5</v>
      </c>
      <c r="F53" s="132">
        <f>(+D53-E53)/E53</f>
        <v>-4.076839243397961E-2</v>
      </c>
      <c r="G53" s="215">
        <f>D53/C53</f>
        <v>0.23597320123498725</v>
      </c>
      <c r="H53" s="123"/>
    </row>
    <row r="54" spans="1:8" ht="15.75" customHeight="1" thickBot="1" x14ac:dyDescent="0.3">
      <c r="A54" s="130"/>
      <c r="B54" s="131"/>
      <c r="C54" s="204"/>
      <c r="D54" s="204"/>
      <c r="E54" s="204"/>
      <c r="F54" s="132"/>
      <c r="G54" s="215"/>
      <c r="H54" s="123"/>
    </row>
    <row r="55" spans="1:8" ht="17.25" thickTop="1" thickBot="1" x14ac:dyDescent="0.3">
      <c r="A55" s="141" t="s">
        <v>14</v>
      </c>
      <c r="B55" s="142"/>
      <c r="C55" s="207">
        <f>SUM(C49:C54)</f>
        <v>13922672</v>
      </c>
      <c r="D55" s="261">
        <f>SUM(D49:D54)</f>
        <v>3283066</v>
      </c>
      <c r="E55" s="207">
        <f>SUM(E49:E54)</f>
        <v>3179194</v>
      </c>
      <c r="F55" s="268">
        <f>(+D55-E55)/E55</f>
        <v>3.2672432069260321E-2</v>
      </c>
      <c r="G55" s="267">
        <f>D55/C55</f>
        <v>0.23580717839219367</v>
      </c>
      <c r="H55" s="123"/>
    </row>
    <row r="56" spans="1:8" ht="15.75" customHeight="1" thickTop="1" x14ac:dyDescent="0.25">
      <c r="A56" s="130"/>
      <c r="B56" s="134"/>
      <c r="C56" s="204"/>
      <c r="D56" s="204"/>
      <c r="E56" s="204"/>
      <c r="F56" s="132"/>
      <c r="G56" s="218"/>
      <c r="H56" s="123"/>
    </row>
    <row r="57" spans="1:8" ht="15.75" x14ac:dyDescent="0.25">
      <c r="A57" s="130" t="s">
        <v>67</v>
      </c>
      <c r="B57" s="131">
        <f>DATE(2023,7,1)</f>
        <v>45108</v>
      </c>
      <c r="C57" s="204">
        <v>8239268</v>
      </c>
      <c r="D57" s="204">
        <v>826564</v>
      </c>
      <c r="E57" s="204">
        <v>951854</v>
      </c>
      <c r="F57" s="132">
        <f>(+D57-E57)/E57</f>
        <v>-0.13162732940135777</v>
      </c>
      <c r="G57" s="215">
        <f>D57/C57</f>
        <v>0.1003200769777121</v>
      </c>
      <c r="H57" s="123"/>
    </row>
    <row r="58" spans="1:8" ht="15.75" x14ac:dyDescent="0.25">
      <c r="A58" s="130"/>
      <c r="B58" s="131">
        <f>DATE(2023,8,1)</f>
        <v>45139</v>
      </c>
      <c r="C58" s="204">
        <v>7087572</v>
      </c>
      <c r="D58" s="204">
        <v>916100.5</v>
      </c>
      <c r="E58" s="204">
        <v>1029739</v>
      </c>
      <c r="F58" s="132">
        <f>(+D58-E58)/E58</f>
        <v>-0.11035660492610264</v>
      </c>
      <c r="G58" s="215">
        <f>D58/C58</f>
        <v>0.1292544894076561</v>
      </c>
      <c r="H58" s="123"/>
    </row>
    <row r="59" spans="1:8" ht="15.75" x14ac:dyDescent="0.25">
      <c r="A59" s="130"/>
      <c r="B59" s="131">
        <f>DATE(2023,9,1)</f>
        <v>45170</v>
      </c>
      <c r="C59" s="204">
        <v>7246519</v>
      </c>
      <c r="D59" s="204">
        <v>1270544.5</v>
      </c>
      <c r="E59" s="204">
        <v>389281</v>
      </c>
      <c r="F59" s="132">
        <f>(+D59-E59)/E59</f>
        <v>2.2638235619000158</v>
      </c>
      <c r="G59" s="215">
        <f>D59/C59</f>
        <v>0.17533170064137002</v>
      </c>
      <c r="H59" s="123"/>
    </row>
    <row r="60" spans="1:8" ht="15.75" x14ac:dyDescent="0.25">
      <c r="A60" s="130"/>
      <c r="B60" s="131">
        <f>DATE(2023,10,1)</f>
        <v>45200</v>
      </c>
      <c r="C60" s="204">
        <v>7936605</v>
      </c>
      <c r="D60" s="204">
        <v>1093341.5</v>
      </c>
      <c r="E60" s="204">
        <v>1134882.5</v>
      </c>
      <c r="F60" s="132">
        <f>(+D60-E60)/E60</f>
        <v>-3.6603789379076691E-2</v>
      </c>
      <c r="G60" s="215">
        <f>D60/C60</f>
        <v>0.13775934420322039</v>
      </c>
      <c r="H60" s="123"/>
    </row>
    <row r="61" spans="1:8" ht="15.75" x14ac:dyDescent="0.25">
      <c r="A61" s="130"/>
      <c r="B61" s="131">
        <f>DATE(2023,11,1)</f>
        <v>45231</v>
      </c>
      <c r="C61" s="204">
        <v>7753074</v>
      </c>
      <c r="D61" s="204">
        <v>1066773</v>
      </c>
      <c r="E61" s="204">
        <v>1197761</v>
      </c>
      <c r="F61" s="132">
        <f>(+D61-E61)/E61</f>
        <v>-0.10936071553506918</v>
      </c>
      <c r="G61" s="215">
        <f>D61/C61</f>
        <v>0.13759355321515054</v>
      </c>
      <c r="H61" s="123"/>
    </row>
    <row r="62" spans="1:8" ht="15.75" customHeight="1" thickBot="1" x14ac:dyDescent="0.3">
      <c r="A62" s="130"/>
      <c r="B62" s="131"/>
      <c r="C62" s="204"/>
      <c r="D62" s="204"/>
      <c r="E62" s="204"/>
      <c r="F62" s="132"/>
      <c r="G62" s="215"/>
      <c r="H62" s="123"/>
    </row>
    <row r="63" spans="1:8" ht="17.25" thickTop="1" thickBot="1" x14ac:dyDescent="0.3">
      <c r="A63" s="141" t="s">
        <v>14</v>
      </c>
      <c r="B63" s="142"/>
      <c r="C63" s="207">
        <f>SUM(C57:C62)</f>
        <v>38263038</v>
      </c>
      <c r="D63" s="261">
        <f>SUM(D57:D62)</f>
        <v>5173323.5</v>
      </c>
      <c r="E63" s="207">
        <f>SUM(E57:E62)</f>
        <v>4703517.5</v>
      </c>
      <c r="F63" s="269">
        <f>(+D63-E63)/E63</f>
        <v>9.9883969816206702E-2</v>
      </c>
      <c r="G63" s="267">
        <f>D63/C63</f>
        <v>0.13520420150642506</v>
      </c>
      <c r="H63" s="123"/>
    </row>
    <row r="64" spans="1:8" ht="15.75" customHeight="1" thickTop="1" x14ac:dyDescent="0.25">
      <c r="A64" s="130"/>
      <c r="B64" s="139"/>
      <c r="C64" s="205"/>
      <c r="D64" s="205"/>
      <c r="E64" s="205"/>
      <c r="F64" s="140"/>
      <c r="G64" s="216"/>
      <c r="H64" s="123"/>
    </row>
    <row r="65" spans="1:8" ht="15.75" x14ac:dyDescent="0.25">
      <c r="A65" s="130" t="s">
        <v>69</v>
      </c>
      <c r="B65" s="131">
        <f>DATE(2023,7,1)</f>
        <v>45108</v>
      </c>
      <c r="C65" s="204">
        <v>6583612</v>
      </c>
      <c r="D65" s="204">
        <v>1705016.95</v>
      </c>
      <c r="E65" s="204">
        <v>1405783</v>
      </c>
      <c r="F65" s="132">
        <f>(+D65-E65)/E65</f>
        <v>0.21285927486674683</v>
      </c>
      <c r="G65" s="215">
        <f>D65/C65</f>
        <v>0.25897895410604393</v>
      </c>
      <c r="H65" s="123"/>
    </row>
    <row r="66" spans="1:8" ht="15.75" x14ac:dyDescent="0.25">
      <c r="A66" s="130"/>
      <c r="B66" s="131">
        <f>DATE(2023,8,1)</f>
        <v>45139</v>
      </c>
      <c r="C66" s="204">
        <v>6682064</v>
      </c>
      <c r="D66" s="204">
        <v>1401382.35</v>
      </c>
      <c r="E66" s="204">
        <v>1387184.42</v>
      </c>
      <c r="F66" s="132">
        <f>(+D66-E66)/E66</f>
        <v>1.0235070258358415E-2</v>
      </c>
      <c r="G66" s="215">
        <f>D66/C66</f>
        <v>0.20972297631390541</v>
      </c>
      <c r="H66" s="123"/>
    </row>
    <row r="67" spans="1:8" ht="15.75" x14ac:dyDescent="0.25">
      <c r="A67" s="130"/>
      <c r="B67" s="131">
        <f>DATE(2023,9,1)</f>
        <v>45170</v>
      </c>
      <c r="C67" s="204">
        <v>6212275</v>
      </c>
      <c r="D67" s="204">
        <v>1626153.96</v>
      </c>
      <c r="E67" s="204">
        <v>1318470</v>
      </c>
      <c r="F67" s="132">
        <f>(+D67-E67)/E67</f>
        <v>0.2333643996450431</v>
      </c>
      <c r="G67" s="215">
        <f>D67/C67</f>
        <v>0.26176464499720309</v>
      </c>
      <c r="H67" s="123"/>
    </row>
    <row r="68" spans="1:8" ht="15.75" x14ac:dyDescent="0.25">
      <c r="A68" s="130"/>
      <c r="B68" s="131">
        <f>DATE(2023,10,1)</f>
        <v>45200</v>
      </c>
      <c r="C68" s="204">
        <v>5515298</v>
      </c>
      <c r="D68" s="204">
        <v>1039539</v>
      </c>
      <c r="E68" s="204">
        <v>1379988.01</v>
      </c>
      <c r="F68" s="132">
        <f>(+D68-E68)/E68</f>
        <v>-0.24670432462670455</v>
      </c>
      <c r="G68" s="215">
        <f>D68/C68</f>
        <v>0.18848283447240746</v>
      </c>
      <c r="H68" s="123"/>
    </row>
    <row r="69" spans="1:8" ht="15.75" x14ac:dyDescent="0.25">
      <c r="A69" s="130"/>
      <c r="B69" s="131">
        <f>DATE(2023,11,1)</f>
        <v>45231</v>
      </c>
      <c r="C69" s="204">
        <v>5590365</v>
      </c>
      <c r="D69" s="204">
        <v>1359520</v>
      </c>
      <c r="E69" s="204">
        <v>1234881.42</v>
      </c>
      <c r="F69" s="132">
        <f>(+D69-E69)/E69</f>
        <v>0.10093161819537302</v>
      </c>
      <c r="G69" s="215">
        <f>D69/C69</f>
        <v>0.24318984538576641</v>
      </c>
      <c r="H69" s="123"/>
    </row>
    <row r="70" spans="1:8" ht="15.75" customHeight="1" thickBot="1" x14ac:dyDescent="0.3">
      <c r="A70" s="130"/>
      <c r="B70" s="131"/>
      <c r="C70" s="204"/>
      <c r="D70" s="204"/>
      <c r="E70" s="204"/>
      <c r="F70" s="132"/>
      <c r="G70" s="215"/>
      <c r="H70" s="123"/>
    </row>
    <row r="71" spans="1:8" ht="17.25" thickTop="1" thickBot="1" x14ac:dyDescent="0.3">
      <c r="A71" s="141" t="s">
        <v>14</v>
      </c>
      <c r="B71" s="142"/>
      <c r="C71" s="206">
        <f>SUM(C65:C70)</f>
        <v>30583614</v>
      </c>
      <c r="D71" s="206">
        <f>SUM(D65:D70)</f>
        <v>7131612.2599999998</v>
      </c>
      <c r="E71" s="206">
        <f>SUM(E65:E70)</f>
        <v>6726306.8499999996</v>
      </c>
      <c r="F71" s="143">
        <f>(+D71-E71)/E71</f>
        <v>6.0256752931216656E-2</v>
      </c>
      <c r="G71" s="217">
        <f>D71/C71</f>
        <v>0.23318409197814227</v>
      </c>
      <c r="H71" s="123"/>
    </row>
    <row r="72" spans="1:8" ht="15.75" customHeight="1" thickTop="1" x14ac:dyDescent="0.25">
      <c r="A72" s="138"/>
      <c r="B72" s="139"/>
      <c r="C72" s="205"/>
      <c r="D72" s="205"/>
      <c r="E72" s="205"/>
      <c r="F72" s="140"/>
      <c r="G72" s="216"/>
      <c r="H72" s="123"/>
    </row>
    <row r="73" spans="1:8" ht="15.75" x14ac:dyDescent="0.25">
      <c r="A73" s="130" t="s">
        <v>16</v>
      </c>
      <c r="B73" s="131">
        <f>DATE(2023,7,1)</f>
        <v>45108</v>
      </c>
      <c r="C73" s="204">
        <v>10870339</v>
      </c>
      <c r="D73" s="204">
        <v>2105009.5</v>
      </c>
      <c r="E73" s="204">
        <v>2289729.5</v>
      </c>
      <c r="F73" s="132">
        <f>(+D73-E73)/E73</f>
        <v>-8.0673284770100578E-2</v>
      </c>
      <c r="G73" s="215">
        <f>D73/C73</f>
        <v>0.1936470886510531</v>
      </c>
      <c r="H73" s="123"/>
    </row>
    <row r="74" spans="1:8" ht="15.75" x14ac:dyDescent="0.25">
      <c r="A74" s="130"/>
      <c r="B74" s="131">
        <f>DATE(2023,8,1)</f>
        <v>45139</v>
      </c>
      <c r="C74" s="204">
        <v>10577694.15</v>
      </c>
      <c r="D74" s="204">
        <v>1767561.15</v>
      </c>
      <c r="E74" s="204">
        <v>2099615</v>
      </c>
      <c r="F74" s="132">
        <f>(+D74-E74)/E74</f>
        <v>-0.15814987509614861</v>
      </c>
      <c r="G74" s="215">
        <f>D74/C74</f>
        <v>0.16710269033445252</v>
      </c>
      <c r="H74" s="123"/>
    </row>
    <row r="75" spans="1:8" ht="15.75" x14ac:dyDescent="0.25">
      <c r="A75" s="130"/>
      <c r="B75" s="131">
        <f>DATE(2023,9,1)</f>
        <v>45170</v>
      </c>
      <c r="C75" s="204">
        <v>11010233</v>
      </c>
      <c r="D75" s="204">
        <v>2123175</v>
      </c>
      <c r="E75" s="204">
        <v>1892853.5</v>
      </c>
      <c r="F75" s="132">
        <f>(+D75-E75)/E75</f>
        <v>0.12167951719454252</v>
      </c>
      <c r="G75" s="215">
        <f>D75/C75</f>
        <v>0.19283651853689199</v>
      </c>
      <c r="H75" s="123"/>
    </row>
    <row r="76" spans="1:8" ht="15.75" x14ac:dyDescent="0.25">
      <c r="A76" s="130"/>
      <c r="B76" s="131">
        <f>DATE(2023,10,1)</f>
        <v>45200</v>
      </c>
      <c r="C76" s="204">
        <v>10359340</v>
      </c>
      <c r="D76" s="204">
        <v>1980886.5</v>
      </c>
      <c r="E76" s="204">
        <v>1720920</v>
      </c>
      <c r="F76" s="132">
        <f>(+D76-E76)/E76</f>
        <v>0.15106251307440208</v>
      </c>
      <c r="G76" s="215">
        <f>D76/C76</f>
        <v>0.19121744242393821</v>
      </c>
      <c r="H76" s="123"/>
    </row>
    <row r="77" spans="1:8" ht="15.75" x14ac:dyDescent="0.25">
      <c r="A77" s="130"/>
      <c r="B77" s="131">
        <f>DATE(2023,11,1)</f>
        <v>45231</v>
      </c>
      <c r="C77" s="204">
        <v>10158371</v>
      </c>
      <c r="D77" s="204">
        <v>1968225</v>
      </c>
      <c r="E77" s="204">
        <v>1878662</v>
      </c>
      <c r="F77" s="132">
        <f>(+D77-E77)/E77</f>
        <v>4.7673823178411019E-2</v>
      </c>
      <c r="G77" s="215">
        <f>D77/C77</f>
        <v>0.19375399854957059</v>
      </c>
      <c r="H77" s="123"/>
    </row>
    <row r="78" spans="1:8" ht="15.75" customHeight="1" thickBot="1" x14ac:dyDescent="0.3">
      <c r="A78" s="130"/>
      <c r="B78" s="131"/>
      <c r="C78" s="204"/>
      <c r="D78" s="204"/>
      <c r="E78" s="204"/>
      <c r="F78" s="132"/>
      <c r="G78" s="215"/>
      <c r="H78" s="123"/>
    </row>
    <row r="79" spans="1:8" ht="17.25" thickTop="1" thickBot="1" x14ac:dyDescent="0.3">
      <c r="A79" s="141" t="s">
        <v>14</v>
      </c>
      <c r="B79" s="142"/>
      <c r="C79" s="206">
        <f>SUM(C73:C78)</f>
        <v>52975977.149999999</v>
      </c>
      <c r="D79" s="206">
        <f>SUM(D73:D78)</f>
        <v>9944857.1500000004</v>
      </c>
      <c r="E79" s="206">
        <f>SUM(E73:E78)</f>
        <v>9881780</v>
      </c>
      <c r="F79" s="143">
        <f>(+D79-E79)/E79</f>
        <v>6.3831769175189462E-3</v>
      </c>
      <c r="G79" s="217">
        <f>D79/C79</f>
        <v>0.18772390213476223</v>
      </c>
      <c r="H79" s="123"/>
    </row>
    <row r="80" spans="1:8" ht="15.75" customHeight="1" thickTop="1" x14ac:dyDescent="0.25">
      <c r="A80" s="138"/>
      <c r="B80" s="139"/>
      <c r="C80" s="205"/>
      <c r="D80" s="205"/>
      <c r="E80" s="205"/>
      <c r="F80" s="140"/>
      <c r="G80" s="216"/>
      <c r="H80" s="123"/>
    </row>
    <row r="81" spans="1:8" ht="15.75" x14ac:dyDescent="0.25">
      <c r="A81" s="130" t="s">
        <v>53</v>
      </c>
      <c r="B81" s="131">
        <f>DATE(2023,7,1)</f>
        <v>45108</v>
      </c>
      <c r="C81" s="204">
        <v>14493632</v>
      </c>
      <c r="D81" s="204">
        <v>2697018.32</v>
      </c>
      <c r="E81" s="204">
        <v>2740415.54</v>
      </c>
      <c r="F81" s="132">
        <f>(+D81-E81)/E81</f>
        <v>-1.5835999820669609E-2</v>
      </c>
      <c r="G81" s="215">
        <f>D81/C81</f>
        <v>0.18608298596238679</v>
      </c>
      <c r="H81" s="123"/>
    </row>
    <row r="82" spans="1:8" ht="15.75" x14ac:dyDescent="0.25">
      <c r="A82" s="130"/>
      <c r="B82" s="131">
        <f>DATE(2023,8,1)</f>
        <v>45139</v>
      </c>
      <c r="C82" s="204">
        <v>13342517</v>
      </c>
      <c r="D82" s="204">
        <v>2176274.1</v>
      </c>
      <c r="E82" s="204">
        <v>2942976.84</v>
      </c>
      <c r="F82" s="132">
        <f>(+D82-E82)/E82</f>
        <v>-0.26051946096864281</v>
      </c>
      <c r="G82" s="215">
        <f>D82/C82</f>
        <v>0.1631082126408383</v>
      </c>
      <c r="H82" s="123"/>
    </row>
    <row r="83" spans="1:8" ht="15.75" x14ac:dyDescent="0.25">
      <c r="A83" s="130"/>
      <c r="B83" s="131">
        <f>DATE(2023,9,1)</f>
        <v>45170</v>
      </c>
      <c r="C83" s="204">
        <v>12919096</v>
      </c>
      <c r="D83" s="204">
        <v>3641267.7</v>
      </c>
      <c r="E83" s="204">
        <v>2470080.11</v>
      </c>
      <c r="F83" s="132">
        <f>(+D83-E83)/E83</f>
        <v>0.47414963800506066</v>
      </c>
      <c r="G83" s="215">
        <f>D83/C83</f>
        <v>0.28185158621005679</v>
      </c>
      <c r="H83" s="123"/>
    </row>
    <row r="84" spans="1:8" ht="15.75" x14ac:dyDescent="0.25">
      <c r="A84" s="130"/>
      <c r="B84" s="131">
        <f>DATE(2023,10,1)</f>
        <v>45200</v>
      </c>
      <c r="C84" s="204">
        <v>12747730</v>
      </c>
      <c r="D84" s="204">
        <v>2255484.27</v>
      </c>
      <c r="E84" s="204">
        <v>3215532.42</v>
      </c>
      <c r="F84" s="132">
        <f>(+D84-E84)/E84</f>
        <v>-0.29856584372425637</v>
      </c>
      <c r="G84" s="215">
        <f>D84/C84</f>
        <v>0.1769322279339145</v>
      </c>
      <c r="H84" s="123"/>
    </row>
    <row r="85" spans="1:8" ht="15.75" x14ac:dyDescent="0.25">
      <c r="A85" s="130"/>
      <c r="B85" s="131">
        <f>DATE(2023,11,1)</f>
        <v>45231</v>
      </c>
      <c r="C85" s="204">
        <v>12382493</v>
      </c>
      <c r="D85" s="204">
        <v>2883631.5</v>
      </c>
      <c r="E85" s="204">
        <v>3258473.52</v>
      </c>
      <c r="F85" s="132">
        <f>(+D85-E85)/E85</f>
        <v>-0.11503607983900388</v>
      </c>
      <c r="G85" s="215">
        <f>D85/C85</f>
        <v>0.23287971977856156</v>
      </c>
      <c r="H85" s="123"/>
    </row>
    <row r="86" spans="1:8" ht="15.75" thickBot="1" x14ac:dyDescent="0.25">
      <c r="A86" s="133"/>
      <c r="B86" s="131"/>
      <c r="C86" s="204"/>
      <c r="D86" s="204"/>
      <c r="E86" s="204"/>
      <c r="F86" s="132"/>
      <c r="G86" s="215"/>
      <c r="H86" s="123"/>
    </row>
    <row r="87" spans="1:8" ht="17.25" thickTop="1" thickBot="1" x14ac:dyDescent="0.3">
      <c r="A87" s="141" t="s">
        <v>14</v>
      </c>
      <c r="B87" s="142"/>
      <c r="C87" s="207">
        <f>SUM(C81:C86)</f>
        <v>65885468</v>
      </c>
      <c r="D87" s="207">
        <f>SUM(D81:D86)</f>
        <v>13653675.890000001</v>
      </c>
      <c r="E87" s="207">
        <f>SUM(E81:E86)</f>
        <v>14627478.43</v>
      </c>
      <c r="F87" s="143">
        <f>(+D87-E87)/E87</f>
        <v>-6.6573507160522891E-2</v>
      </c>
      <c r="G87" s="267">
        <f>D87/C87</f>
        <v>0.20723349631515103</v>
      </c>
      <c r="H87" s="123"/>
    </row>
    <row r="88" spans="1:8" ht="15.75" customHeight="1" thickTop="1" x14ac:dyDescent="0.25">
      <c r="A88" s="138"/>
      <c r="B88" s="139"/>
      <c r="C88" s="205"/>
      <c r="D88" s="205"/>
      <c r="E88" s="205"/>
      <c r="F88" s="140"/>
      <c r="G88" s="219"/>
      <c r="H88" s="123"/>
    </row>
    <row r="89" spans="1:8" ht="15.75" x14ac:dyDescent="0.25">
      <c r="A89" s="130" t="s">
        <v>54</v>
      </c>
      <c r="B89" s="131">
        <f>DATE(2023,7,1)</f>
        <v>45108</v>
      </c>
      <c r="C89" s="204">
        <v>199161</v>
      </c>
      <c r="D89" s="204">
        <v>54168.5</v>
      </c>
      <c r="E89" s="204">
        <v>33672.5</v>
      </c>
      <c r="F89" s="132">
        <f>(+D89-E89)/E89</f>
        <v>0.60868661370554611</v>
      </c>
      <c r="G89" s="215">
        <f>D89/C89</f>
        <v>0.27198347065941625</v>
      </c>
      <c r="H89" s="123"/>
    </row>
    <row r="90" spans="1:8" ht="15.75" x14ac:dyDescent="0.25">
      <c r="A90" s="130"/>
      <c r="B90" s="131">
        <f>DATE(2023,8,1)</f>
        <v>45139</v>
      </c>
      <c r="C90" s="204">
        <v>175878</v>
      </c>
      <c r="D90" s="204">
        <v>48279.5</v>
      </c>
      <c r="E90" s="204">
        <v>43554</v>
      </c>
      <c r="F90" s="132">
        <f>(+D90-E90)/E90</f>
        <v>0.10849749735959957</v>
      </c>
      <c r="G90" s="215">
        <f>D90/C90</f>
        <v>0.27450562321609295</v>
      </c>
      <c r="H90" s="123"/>
    </row>
    <row r="91" spans="1:8" ht="15.75" x14ac:dyDescent="0.25">
      <c r="A91" s="130"/>
      <c r="B91" s="131">
        <f>DATE(2023,9,1)</f>
        <v>45170</v>
      </c>
      <c r="C91" s="204">
        <v>172935</v>
      </c>
      <c r="D91" s="204">
        <v>44777.5</v>
      </c>
      <c r="E91" s="204">
        <v>21940.5</v>
      </c>
      <c r="F91" s="132">
        <f>(+D91-E91)/E91</f>
        <v>1.0408605091041681</v>
      </c>
      <c r="G91" s="215">
        <f>D91/C91</f>
        <v>0.25892676439124529</v>
      </c>
      <c r="H91" s="123"/>
    </row>
    <row r="92" spans="1:8" ht="15.75" x14ac:dyDescent="0.25">
      <c r="A92" s="130"/>
      <c r="B92" s="131">
        <f>DATE(2023,10,1)</f>
        <v>45200</v>
      </c>
      <c r="C92" s="204">
        <v>199343</v>
      </c>
      <c r="D92" s="204">
        <v>43819.5</v>
      </c>
      <c r="E92" s="204">
        <v>23452.5</v>
      </c>
      <c r="F92" s="132">
        <f>(+D92-E92)/E92</f>
        <v>0.86843620083146789</v>
      </c>
      <c r="G92" s="215">
        <f>D92/C92</f>
        <v>0.21981960741034298</v>
      </c>
      <c r="H92" s="123"/>
    </row>
    <row r="93" spans="1:8" ht="15.75" x14ac:dyDescent="0.25">
      <c r="A93" s="130"/>
      <c r="B93" s="131">
        <f>DATE(2023,11,1)</f>
        <v>45231</v>
      </c>
      <c r="C93" s="204">
        <v>159884</v>
      </c>
      <c r="D93" s="204">
        <v>38077.5</v>
      </c>
      <c r="E93" s="204">
        <v>27986</v>
      </c>
      <c r="F93" s="132">
        <f>(+D93-E93)/E93</f>
        <v>0.3605910097906096</v>
      </c>
      <c r="G93" s="215">
        <f>D93/C93</f>
        <v>0.23815703885316855</v>
      </c>
      <c r="H93" s="123"/>
    </row>
    <row r="94" spans="1:8" ht="15.75" thickBot="1" x14ac:dyDescent="0.25">
      <c r="A94" s="133"/>
      <c r="B94" s="134"/>
      <c r="C94" s="204"/>
      <c r="D94" s="204"/>
      <c r="E94" s="204"/>
      <c r="F94" s="132"/>
      <c r="G94" s="215"/>
      <c r="H94" s="123"/>
    </row>
    <row r="95" spans="1:8" ht="17.25" thickTop="1" thickBot="1" x14ac:dyDescent="0.3">
      <c r="A95" s="144" t="s">
        <v>14</v>
      </c>
      <c r="B95" s="145"/>
      <c r="C95" s="207">
        <f>SUM(C89:C94)</f>
        <v>907201</v>
      </c>
      <c r="D95" s="207">
        <f>SUM(D89:D94)</f>
        <v>229122.5</v>
      </c>
      <c r="E95" s="207">
        <f>SUM(E89:E94)</f>
        <v>150605.5</v>
      </c>
      <c r="F95" s="143">
        <f>(+D95-E95)/E95</f>
        <v>0.5213421820584242</v>
      </c>
      <c r="G95" s="217">
        <f>D95/C95</f>
        <v>0.2525597965610708</v>
      </c>
      <c r="H95" s="123"/>
    </row>
    <row r="96" spans="1:8" ht="15.75" customHeight="1" thickTop="1" x14ac:dyDescent="0.25">
      <c r="A96" s="130"/>
      <c r="B96" s="134"/>
      <c r="C96" s="204"/>
      <c r="D96" s="204"/>
      <c r="E96" s="204"/>
      <c r="F96" s="132"/>
      <c r="G96" s="218"/>
      <c r="H96" s="123"/>
    </row>
    <row r="97" spans="1:8" ht="15.75" x14ac:dyDescent="0.25">
      <c r="A97" s="130" t="s">
        <v>37</v>
      </c>
      <c r="B97" s="131">
        <f>DATE(2023,7,1)</f>
        <v>45108</v>
      </c>
      <c r="C97" s="204">
        <v>20709684</v>
      </c>
      <c r="D97" s="204">
        <v>4690410.88</v>
      </c>
      <c r="E97" s="204">
        <v>4747644.93</v>
      </c>
      <c r="F97" s="132">
        <f>(+D97-E97)/E97</f>
        <v>-1.2055250728280519E-2</v>
      </c>
      <c r="G97" s="215">
        <f>D97/C97</f>
        <v>0.22648394248796844</v>
      </c>
      <c r="H97" s="123"/>
    </row>
    <row r="98" spans="1:8" ht="15.75" x14ac:dyDescent="0.25">
      <c r="A98" s="130"/>
      <c r="B98" s="131">
        <f>DATE(2023,8,1)</f>
        <v>45139</v>
      </c>
      <c r="C98" s="204">
        <v>20362139</v>
      </c>
      <c r="D98" s="204">
        <v>3109199.97</v>
      </c>
      <c r="E98" s="204">
        <v>5944421.2300000004</v>
      </c>
      <c r="F98" s="132">
        <f>(+D98-E98)/E98</f>
        <v>-0.47695497177948137</v>
      </c>
      <c r="G98" s="215">
        <f>D98/C98</f>
        <v>0.15269515496382774</v>
      </c>
      <c r="H98" s="123"/>
    </row>
    <row r="99" spans="1:8" ht="15.75" x14ac:dyDescent="0.25">
      <c r="A99" s="130"/>
      <c r="B99" s="131">
        <f>DATE(2023,9,1)</f>
        <v>45170</v>
      </c>
      <c r="C99" s="204">
        <v>21392075</v>
      </c>
      <c r="D99" s="204">
        <v>4835353.0999999996</v>
      </c>
      <c r="E99" s="204">
        <v>4482002.3499999996</v>
      </c>
      <c r="F99" s="132">
        <f>(+D99-E99)/E99</f>
        <v>7.8837698512139343E-2</v>
      </c>
      <c r="G99" s="215">
        <f>D99/C99</f>
        <v>0.22603478624677595</v>
      </c>
      <c r="H99" s="123"/>
    </row>
    <row r="100" spans="1:8" ht="15.75" x14ac:dyDescent="0.25">
      <c r="A100" s="130"/>
      <c r="B100" s="131">
        <f>DATE(2023,10,1)</f>
        <v>45200</v>
      </c>
      <c r="C100" s="204">
        <v>19934793</v>
      </c>
      <c r="D100" s="204">
        <v>4925406.22</v>
      </c>
      <c r="E100" s="204">
        <v>4856222.42</v>
      </c>
      <c r="F100" s="132">
        <f>(+D100-E100)/E100</f>
        <v>1.4246423251758681E-2</v>
      </c>
      <c r="G100" s="215">
        <f>D100/C100</f>
        <v>0.24707586479578694</v>
      </c>
      <c r="H100" s="123"/>
    </row>
    <row r="101" spans="1:8" ht="15.75" x14ac:dyDescent="0.25">
      <c r="A101" s="130"/>
      <c r="B101" s="131">
        <f>DATE(2023,11,1)</f>
        <v>45231</v>
      </c>
      <c r="C101" s="204">
        <v>20304922</v>
      </c>
      <c r="D101" s="204">
        <v>3628470.69</v>
      </c>
      <c r="E101" s="204">
        <v>4475648.3499999996</v>
      </c>
      <c r="F101" s="132">
        <f>(+D101-E101)/E101</f>
        <v>-0.18928601930935879</v>
      </c>
      <c r="G101" s="215">
        <f>D101/C101</f>
        <v>0.17869907059972945</v>
      </c>
      <c r="H101" s="123"/>
    </row>
    <row r="102" spans="1:8" ht="15.75" thickBot="1" x14ac:dyDescent="0.25">
      <c r="A102" s="133"/>
      <c r="B102" s="134"/>
      <c r="C102" s="204"/>
      <c r="D102" s="204"/>
      <c r="E102" s="204"/>
      <c r="F102" s="132"/>
      <c r="G102" s="215"/>
      <c r="H102" s="123"/>
    </row>
    <row r="103" spans="1:8" ht="17.25" thickTop="1" thickBot="1" x14ac:dyDescent="0.3">
      <c r="A103" s="141" t="s">
        <v>14</v>
      </c>
      <c r="B103" s="142"/>
      <c r="C103" s="206">
        <f>SUM(C97:C102)</f>
        <v>102703613</v>
      </c>
      <c r="D103" s="207">
        <f>SUM(D97:D102)</f>
        <v>21188840.859999999</v>
      </c>
      <c r="E103" s="206">
        <f>SUM(E97:E102)</f>
        <v>24505939.280000001</v>
      </c>
      <c r="F103" s="143">
        <f>(+D103-E103)/E103</f>
        <v>-0.13535895858140728</v>
      </c>
      <c r="G103" s="217">
        <f>D103/C103</f>
        <v>0.20631056922992572</v>
      </c>
      <c r="H103" s="123"/>
    </row>
    <row r="104" spans="1:8" ht="15.75" customHeight="1" thickTop="1" x14ac:dyDescent="0.25">
      <c r="A104" s="130"/>
      <c r="B104" s="134"/>
      <c r="C104" s="204"/>
      <c r="D104" s="204"/>
      <c r="E104" s="204"/>
      <c r="F104" s="132"/>
      <c r="G104" s="218"/>
      <c r="H104" s="123"/>
    </row>
    <row r="105" spans="1:8" ht="15.75" x14ac:dyDescent="0.25">
      <c r="A105" s="130" t="s">
        <v>57</v>
      </c>
      <c r="B105" s="131">
        <f>DATE(2023,7,1)</f>
        <v>45108</v>
      </c>
      <c r="C105" s="204">
        <v>667022</v>
      </c>
      <c r="D105" s="204">
        <v>167507.5</v>
      </c>
      <c r="E105" s="204">
        <v>196833</v>
      </c>
      <c r="F105" s="132">
        <f>(+D105-E105)/E105</f>
        <v>-0.14898670446520654</v>
      </c>
      <c r="G105" s="215">
        <f>D105/C105</f>
        <v>0.25112739909628168</v>
      </c>
      <c r="H105" s="123"/>
    </row>
    <row r="106" spans="1:8" ht="15.75" x14ac:dyDescent="0.25">
      <c r="A106" s="130"/>
      <c r="B106" s="131">
        <f>DATE(2023,8,1)</f>
        <v>45139</v>
      </c>
      <c r="C106" s="204">
        <v>610032</v>
      </c>
      <c r="D106" s="204">
        <v>211410</v>
      </c>
      <c r="E106" s="204">
        <v>151280.5</v>
      </c>
      <c r="F106" s="132">
        <f>(+D106-E106)/E106</f>
        <v>0.39747026219506149</v>
      </c>
      <c r="G106" s="215">
        <f>D106/C106</f>
        <v>0.34655559052639862</v>
      </c>
      <c r="H106" s="123"/>
    </row>
    <row r="107" spans="1:8" ht="15.75" x14ac:dyDescent="0.25">
      <c r="A107" s="130"/>
      <c r="B107" s="131">
        <f>DATE(2023,9,1)</f>
        <v>45170</v>
      </c>
      <c r="C107" s="204">
        <v>532466</v>
      </c>
      <c r="D107" s="204">
        <v>169350</v>
      </c>
      <c r="E107" s="204">
        <v>193974</v>
      </c>
      <c r="F107" s="132">
        <f>(+D107-E107)/E107</f>
        <v>-0.12694484827863528</v>
      </c>
      <c r="G107" s="215">
        <f>D107/C107</f>
        <v>0.31804847633463923</v>
      </c>
      <c r="H107" s="123"/>
    </row>
    <row r="108" spans="1:8" ht="15.75" x14ac:dyDescent="0.25">
      <c r="A108" s="130"/>
      <c r="B108" s="131">
        <f>DATE(2023,10,1)</f>
        <v>45200</v>
      </c>
      <c r="C108" s="204">
        <v>417867</v>
      </c>
      <c r="D108" s="204">
        <v>88179.5</v>
      </c>
      <c r="E108" s="204">
        <v>196489.5</v>
      </c>
      <c r="F108" s="132">
        <f>(+D108-E108)/E108</f>
        <v>-0.55122538354466777</v>
      </c>
      <c r="G108" s="215">
        <f>D108/C108</f>
        <v>0.21102288527210811</v>
      </c>
      <c r="H108" s="123"/>
    </row>
    <row r="109" spans="1:8" ht="15.75" x14ac:dyDescent="0.25">
      <c r="A109" s="130"/>
      <c r="B109" s="131">
        <f>DATE(2023,11,1)</f>
        <v>45231</v>
      </c>
      <c r="C109" s="204">
        <v>535756</v>
      </c>
      <c r="D109" s="204">
        <v>133089.5</v>
      </c>
      <c r="E109" s="204">
        <v>205853.5</v>
      </c>
      <c r="F109" s="132">
        <f>(+D109-E109)/E109</f>
        <v>-0.3534746798086989</v>
      </c>
      <c r="G109" s="215">
        <f>D109/C109</f>
        <v>0.24841439013282166</v>
      </c>
      <c r="H109" s="123"/>
    </row>
    <row r="110" spans="1:8" ht="15.75" thickBot="1" x14ac:dyDescent="0.25">
      <c r="A110" s="133"/>
      <c r="B110" s="134"/>
      <c r="C110" s="204"/>
      <c r="D110" s="204"/>
      <c r="E110" s="204"/>
      <c r="F110" s="132"/>
      <c r="G110" s="215"/>
      <c r="H110" s="123"/>
    </row>
    <row r="111" spans="1:8" ht="17.25" thickTop="1" thickBot="1" x14ac:dyDescent="0.3">
      <c r="A111" s="135" t="s">
        <v>14</v>
      </c>
      <c r="B111" s="136"/>
      <c r="C111" s="201">
        <f>SUM(C105:C110)</f>
        <v>2763143</v>
      </c>
      <c r="D111" s="207">
        <f>SUM(D105:D110)</f>
        <v>769536.5</v>
      </c>
      <c r="E111" s="207">
        <f>SUM(E105:E110)</f>
        <v>944430.5</v>
      </c>
      <c r="F111" s="143">
        <f>(+D111-E111)/E111</f>
        <v>-0.18518461654933846</v>
      </c>
      <c r="G111" s="217">
        <f>D111/C111</f>
        <v>0.27850042505943412</v>
      </c>
      <c r="H111" s="123"/>
    </row>
    <row r="112" spans="1:8" ht="16.5" thickTop="1" thickBot="1" x14ac:dyDescent="0.25">
      <c r="A112" s="146"/>
      <c r="B112" s="139"/>
      <c r="C112" s="205"/>
      <c r="D112" s="205"/>
      <c r="E112" s="205"/>
      <c r="F112" s="140"/>
      <c r="G112" s="216"/>
      <c r="H112" s="123"/>
    </row>
    <row r="113" spans="1:8" ht="17.25" thickTop="1" thickBot="1" x14ac:dyDescent="0.3">
      <c r="A113" s="147" t="s">
        <v>38</v>
      </c>
      <c r="B113" s="121"/>
      <c r="C113" s="201">
        <f>C111+C103+C79+C63+C47+C31+C15+C39+C95+C23+C71+C87+C55</f>
        <v>546172021.14999998</v>
      </c>
      <c r="D113" s="201">
        <f>D111+D103+D79+D63+D47+D31+D15+D39+D95+D23+D71+D87+D55</f>
        <v>108200335.06</v>
      </c>
      <c r="E113" s="201">
        <f>E111+E103+E79+E63+E47+E31+E15+E39+E95+E23+E71+E87+E55</f>
        <v>114390425.41</v>
      </c>
      <c r="F113" s="137">
        <f>(+D113-E113)/E113</f>
        <v>-5.4113710372291852E-2</v>
      </c>
      <c r="G113" s="212">
        <f>D113/C113</f>
        <v>0.1981066969197311</v>
      </c>
      <c r="H113" s="123"/>
    </row>
    <row r="114" spans="1:8" ht="17.25" thickTop="1" thickBot="1" x14ac:dyDescent="0.3">
      <c r="A114" s="147"/>
      <c r="B114" s="121"/>
      <c r="C114" s="201"/>
      <c r="D114" s="201"/>
      <c r="E114" s="201"/>
      <c r="F114" s="137"/>
      <c r="G114" s="212"/>
      <c r="H114" s="123"/>
    </row>
    <row r="115" spans="1:8" ht="17.25" thickTop="1" thickBot="1" x14ac:dyDescent="0.3">
      <c r="A115" s="265" t="s">
        <v>39</v>
      </c>
      <c r="B115" s="266"/>
      <c r="C115" s="206">
        <f>+C13+C21+C29+C37+C45+C53+C61+C69+C77+C85+C93+C101+C109</f>
        <v>104103483</v>
      </c>
      <c r="D115" s="206">
        <f>+D13+D21+D29+D37+D45+D53+D61+D69+D77+D85+D93+D101+D109</f>
        <v>20569028.560000002</v>
      </c>
      <c r="E115" s="206">
        <f>+E13+E21+E29+E37+E45+E53+E61+E69+E77+E85+E93+E101+E109</f>
        <v>23231447.049999997</v>
      </c>
      <c r="F115" s="268">
        <f>(+D115-E115)/E115</f>
        <v>-0.11460407456624597</v>
      </c>
      <c r="G115" s="217">
        <f>D115/C115</f>
        <v>0.19758252046187544</v>
      </c>
      <c r="H115" s="123"/>
    </row>
    <row r="116" spans="1:8" ht="16.5" thickTop="1" x14ac:dyDescent="0.25">
      <c r="A116" s="256"/>
      <c r="B116" s="258"/>
      <c r="C116" s="259"/>
      <c r="D116" s="259"/>
      <c r="E116" s="259"/>
      <c r="F116" s="260"/>
      <c r="G116" s="257"/>
      <c r="H116" s="257"/>
    </row>
    <row r="117" spans="1:8" ht="18.75" x14ac:dyDescent="0.3">
      <c r="A117" s="263" t="s">
        <v>40</v>
      </c>
      <c r="B117" s="117"/>
      <c r="C117" s="208"/>
      <c r="D117" s="208"/>
      <c r="E117" s="208"/>
      <c r="F117" s="148"/>
      <c r="G117" s="220"/>
    </row>
    <row r="118" spans="1:8" ht="15.75" x14ac:dyDescent="0.25">
      <c r="A118" s="72"/>
    </row>
  </sheetData>
  <phoneticPr fontId="0" type="noConversion"/>
  <printOptions horizontalCentered="1"/>
  <pageMargins left="0.45" right="0.25" top="0.31944444444444398" bottom="0.2" header="0.5" footer="0.5"/>
  <pageSetup scale="57" orientation="landscape" r:id="rId1"/>
  <headerFooter alignWithMargins="0"/>
  <rowBreaks count="1" manualBreakCount="1">
    <brk id="63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zoomScaleNormal="100" workbookViewId="0">
      <selection activeCell="B10" sqref="B10"/>
    </sheetView>
  </sheetViews>
  <sheetFormatPr defaultRowHeight="15" x14ac:dyDescent="0.2"/>
  <cols>
    <col min="1" max="1" width="27.6640625" customWidth="1"/>
    <col min="2" max="2" width="9.6640625" customWidth="1"/>
    <col min="3" max="3" width="18.33203125" customWidth="1"/>
    <col min="4" max="4" width="15.77734375" customWidth="1"/>
    <col min="5" max="5" width="15.6640625" customWidth="1"/>
    <col min="6" max="6" width="8.6640625" customWidth="1"/>
    <col min="7" max="7" width="9.6640625" customWidth="1"/>
    <col min="8" max="8" width="10.6640625" customWidth="1"/>
  </cols>
  <sheetData>
    <row r="1" spans="1:8" ht="18" x14ac:dyDescent="0.25">
      <c r="A1" s="149" t="s">
        <v>0</v>
      </c>
      <c r="B1" s="150"/>
      <c r="C1" s="222"/>
      <c r="D1" s="222"/>
      <c r="E1" s="222"/>
      <c r="F1" s="150"/>
      <c r="G1" s="234"/>
      <c r="H1" s="234"/>
    </row>
    <row r="2" spans="1:8" ht="18.75" x14ac:dyDescent="0.3">
      <c r="A2" s="153" t="s">
        <v>59</v>
      </c>
      <c r="B2" s="150"/>
      <c r="C2" s="222"/>
      <c r="D2" s="222"/>
      <c r="E2" s="222"/>
      <c r="F2" s="150"/>
      <c r="G2" s="234"/>
      <c r="H2" s="234"/>
    </row>
    <row r="3" spans="1:8" ht="18" x14ac:dyDescent="0.25">
      <c r="A3" s="149" t="s">
        <v>42</v>
      </c>
      <c r="B3" s="150"/>
      <c r="C3" s="222"/>
      <c r="D3" s="222"/>
      <c r="E3" s="222"/>
      <c r="F3" s="150"/>
      <c r="G3" s="234"/>
      <c r="H3" s="234"/>
    </row>
    <row r="4" spans="1:8" ht="18" x14ac:dyDescent="0.25">
      <c r="A4" s="285" t="s">
        <v>75</v>
      </c>
      <c r="B4" s="150"/>
      <c r="C4" s="222"/>
      <c r="D4" s="222"/>
      <c r="E4" s="222"/>
      <c r="F4" s="150"/>
      <c r="G4" s="234"/>
      <c r="H4" s="234"/>
    </row>
    <row r="5" spans="1:8" x14ac:dyDescent="0.2">
      <c r="A5" s="286" t="s">
        <v>79</v>
      </c>
      <c r="B5" s="150"/>
      <c r="C5" s="222"/>
      <c r="D5" s="222"/>
      <c r="E5" s="222"/>
      <c r="F5" s="150"/>
      <c r="G5" s="234"/>
      <c r="H5" s="234"/>
    </row>
    <row r="6" spans="1:8" ht="16.5" thickBot="1" x14ac:dyDescent="0.3">
      <c r="A6" s="150"/>
      <c r="B6" s="150"/>
      <c r="C6" s="222"/>
      <c r="D6" s="222"/>
      <c r="E6" s="222"/>
      <c r="F6" s="150"/>
      <c r="G6" s="235" t="s">
        <v>43</v>
      </c>
      <c r="H6" s="235"/>
    </row>
    <row r="7" spans="1:8" ht="16.5" thickTop="1" x14ac:dyDescent="0.25">
      <c r="A7" s="154"/>
      <c r="B7" s="155" t="s">
        <v>2</v>
      </c>
      <c r="C7" s="223" t="s">
        <v>65</v>
      </c>
      <c r="D7" s="223" t="s">
        <v>31</v>
      </c>
      <c r="E7" s="223" t="s">
        <v>3</v>
      </c>
      <c r="F7" s="156"/>
      <c r="G7" s="236" t="s">
        <v>32</v>
      </c>
      <c r="H7" s="253" t="s">
        <v>32</v>
      </c>
    </row>
    <row r="8" spans="1:8" ht="16.5" thickBot="1" x14ac:dyDescent="0.3">
      <c r="A8" s="158" t="s">
        <v>5</v>
      </c>
      <c r="B8" s="159" t="s">
        <v>6</v>
      </c>
      <c r="C8" s="224" t="s">
        <v>45</v>
      </c>
      <c r="D8" s="224" t="s">
        <v>66</v>
      </c>
      <c r="E8" s="224" t="s">
        <v>66</v>
      </c>
      <c r="F8" s="160" t="s">
        <v>8</v>
      </c>
      <c r="G8" s="238" t="s">
        <v>35</v>
      </c>
      <c r="H8" s="254" t="s">
        <v>47</v>
      </c>
    </row>
    <row r="9" spans="1:8" ht="16.5" thickTop="1" x14ac:dyDescent="0.25">
      <c r="A9" s="161"/>
      <c r="B9" s="162"/>
      <c r="C9" s="225"/>
      <c r="D9" s="225"/>
      <c r="E9" s="225"/>
      <c r="F9" s="163"/>
      <c r="G9" s="239"/>
      <c r="H9" s="240"/>
    </row>
    <row r="10" spans="1:8" ht="15.75" x14ac:dyDescent="0.25">
      <c r="A10" s="164" t="s">
        <v>36</v>
      </c>
      <c r="B10" s="165">
        <f>DATE(23,7,1)</f>
        <v>8583</v>
      </c>
      <c r="C10" s="226">
        <v>0</v>
      </c>
      <c r="D10" s="226">
        <v>0</v>
      </c>
      <c r="E10" s="226">
        <v>120141.72</v>
      </c>
      <c r="F10" s="166">
        <v>-1</v>
      </c>
      <c r="G10" s="241">
        <v>0</v>
      </c>
      <c r="H10" s="289">
        <v>0</v>
      </c>
    </row>
    <row r="11" spans="1:8" ht="15.75" x14ac:dyDescent="0.25">
      <c r="A11" s="164"/>
      <c r="B11" s="165">
        <f>DATE(23,8,1)</f>
        <v>8614</v>
      </c>
      <c r="C11" s="226">
        <v>0</v>
      </c>
      <c r="D11" s="226">
        <v>0</v>
      </c>
      <c r="E11" s="226">
        <v>119034.53</v>
      </c>
      <c r="F11" s="166">
        <v>-1</v>
      </c>
      <c r="G11" s="241">
        <v>0</v>
      </c>
      <c r="H11" s="289">
        <v>0</v>
      </c>
    </row>
    <row r="12" spans="1:8" ht="15.75" x14ac:dyDescent="0.25">
      <c r="A12" s="164"/>
      <c r="B12" s="165">
        <f>DATE(23,9,1)</f>
        <v>8645</v>
      </c>
      <c r="C12" s="226">
        <v>0</v>
      </c>
      <c r="D12" s="226">
        <v>0</v>
      </c>
      <c r="E12" s="226">
        <v>77282.02</v>
      </c>
      <c r="F12" s="166">
        <v>-1</v>
      </c>
      <c r="G12" s="241">
        <v>0</v>
      </c>
      <c r="H12" s="289">
        <v>0</v>
      </c>
    </row>
    <row r="13" spans="1:8" ht="15.75" x14ac:dyDescent="0.25">
      <c r="A13" s="164"/>
      <c r="B13" s="165">
        <f>DATE(23,10,1)</f>
        <v>8675</v>
      </c>
      <c r="C13" s="226">
        <v>0</v>
      </c>
      <c r="D13" s="226">
        <v>0</v>
      </c>
      <c r="E13" s="226">
        <v>97377.75</v>
      </c>
      <c r="F13" s="166">
        <v>-1</v>
      </c>
      <c r="G13" s="241">
        <v>0</v>
      </c>
      <c r="H13" s="289">
        <v>0</v>
      </c>
    </row>
    <row r="14" spans="1:8" ht="15.75" x14ac:dyDescent="0.25">
      <c r="A14" s="164"/>
      <c r="B14" s="165">
        <f>DATE(23,11,1)</f>
        <v>8706</v>
      </c>
      <c r="C14" s="226">
        <v>0</v>
      </c>
      <c r="D14" s="226">
        <v>0</v>
      </c>
      <c r="E14" s="226">
        <v>92934.27</v>
      </c>
      <c r="F14" s="166">
        <v>-1</v>
      </c>
      <c r="G14" s="241">
        <v>0</v>
      </c>
      <c r="H14" s="289">
        <v>0</v>
      </c>
    </row>
    <row r="15" spans="1:8" ht="15.75" thickBot="1" x14ac:dyDescent="0.25">
      <c r="A15" s="167"/>
      <c r="B15" s="168"/>
      <c r="C15" s="226"/>
      <c r="D15" s="226"/>
      <c r="E15" s="226"/>
      <c r="F15" s="166"/>
      <c r="G15" s="241"/>
      <c r="H15" s="242"/>
    </row>
    <row r="16" spans="1:8" ht="17.25" thickTop="1" thickBot="1" x14ac:dyDescent="0.3">
      <c r="A16" s="169" t="s">
        <v>14</v>
      </c>
      <c r="B16" s="155"/>
      <c r="C16" s="223">
        <f>SUM(C10:C15)</f>
        <v>0</v>
      </c>
      <c r="D16" s="223">
        <f>SUM(D10:D15)</f>
        <v>0</v>
      </c>
      <c r="E16" s="223">
        <f>SUM(E10:E15)</f>
        <v>506770.29000000004</v>
      </c>
      <c r="F16" s="176">
        <f>+(D16-E16)/E16</f>
        <v>-1</v>
      </c>
      <c r="G16" s="245">
        <v>0</v>
      </c>
      <c r="H16" s="246">
        <v>0</v>
      </c>
    </row>
    <row r="17" spans="1:8" ht="15.75" thickTop="1" x14ac:dyDescent="0.2">
      <c r="A17" s="171"/>
      <c r="B17" s="172"/>
      <c r="C17" s="227"/>
      <c r="D17" s="227"/>
      <c r="E17" s="227"/>
      <c r="F17" s="173"/>
      <c r="G17" s="243"/>
      <c r="H17" s="244"/>
    </row>
    <row r="18" spans="1:8" ht="15.75" x14ac:dyDescent="0.25">
      <c r="A18" s="19" t="s">
        <v>48</v>
      </c>
      <c r="B18" s="165">
        <f>DATE(23,7,1)</f>
        <v>8583</v>
      </c>
      <c r="C18" s="226">
        <v>0</v>
      </c>
      <c r="D18" s="226">
        <v>0</v>
      </c>
      <c r="E18" s="226">
        <v>0</v>
      </c>
      <c r="F18" s="166">
        <v>0</v>
      </c>
      <c r="G18" s="241">
        <v>0</v>
      </c>
      <c r="H18" s="242">
        <v>0</v>
      </c>
    </row>
    <row r="19" spans="1:8" ht="15.75" x14ac:dyDescent="0.25">
      <c r="A19" s="19"/>
      <c r="B19" s="165">
        <f>DATE(23,8,1)</f>
        <v>8614</v>
      </c>
      <c r="C19" s="226">
        <v>0</v>
      </c>
      <c r="D19" s="226">
        <v>0</v>
      </c>
      <c r="E19" s="226">
        <v>0</v>
      </c>
      <c r="F19" s="166">
        <v>0</v>
      </c>
      <c r="G19" s="241">
        <v>0</v>
      </c>
      <c r="H19" s="242">
        <v>0</v>
      </c>
    </row>
    <row r="20" spans="1:8" ht="15.75" x14ac:dyDescent="0.25">
      <c r="A20" s="19"/>
      <c r="B20" s="165">
        <f>DATE(23,9,1)</f>
        <v>8645</v>
      </c>
      <c r="C20" s="226">
        <v>0</v>
      </c>
      <c r="D20" s="226">
        <v>0</v>
      </c>
      <c r="E20" s="226">
        <v>0</v>
      </c>
      <c r="F20" s="166">
        <v>0</v>
      </c>
      <c r="G20" s="241">
        <v>0</v>
      </c>
      <c r="H20" s="242">
        <v>0</v>
      </c>
    </row>
    <row r="21" spans="1:8" ht="15.75" x14ac:dyDescent="0.25">
      <c r="A21" s="19"/>
      <c r="B21" s="165">
        <f>DATE(23,10,1)</f>
        <v>8675</v>
      </c>
      <c r="C21" s="226">
        <v>0</v>
      </c>
      <c r="D21" s="226">
        <v>0</v>
      </c>
      <c r="E21" s="226">
        <v>0</v>
      </c>
      <c r="F21" s="166">
        <v>0</v>
      </c>
      <c r="G21" s="241">
        <v>0</v>
      </c>
      <c r="H21" s="242">
        <v>0</v>
      </c>
    </row>
    <row r="22" spans="1:8" ht="15.75" x14ac:dyDescent="0.25">
      <c r="A22" s="19"/>
      <c r="B22" s="165">
        <f>DATE(23,11,1)</f>
        <v>8706</v>
      </c>
      <c r="C22" s="226">
        <v>0</v>
      </c>
      <c r="D22" s="226">
        <v>0</v>
      </c>
      <c r="E22" s="226">
        <v>0</v>
      </c>
      <c r="F22" s="166">
        <v>0</v>
      </c>
      <c r="G22" s="241">
        <v>0</v>
      </c>
      <c r="H22" s="242">
        <v>0</v>
      </c>
    </row>
    <row r="23" spans="1:8" ht="15.75" thickBot="1" x14ac:dyDescent="0.25">
      <c r="A23" s="167"/>
      <c r="B23" s="165"/>
      <c r="C23" s="226"/>
      <c r="D23" s="226"/>
      <c r="E23" s="226"/>
      <c r="F23" s="166"/>
      <c r="G23" s="241"/>
      <c r="H23" s="242"/>
    </row>
    <row r="24" spans="1:8" ht="17.25" thickTop="1" thickBot="1" x14ac:dyDescent="0.3">
      <c r="A24" s="169" t="s">
        <v>14</v>
      </c>
      <c r="B24" s="155"/>
      <c r="C24" s="223">
        <f>SUM(C18:C23)</f>
        <v>0</v>
      </c>
      <c r="D24" s="223">
        <f>SUM(D18:D23)</f>
        <v>0</v>
      </c>
      <c r="E24" s="223">
        <f>SUM(E18:E23)</f>
        <v>0</v>
      </c>
      <c r="F24" s="170">
        <v>0</v>
      </c>
      <c r="G24" s="236">
        <v>0</v>
      </c>
      <c r="H24" s="237">
        <v>0</v>
      </c>
    </row>
    <row r="25" spans="1:8" ht="15.75" thickTop="1" x14ac:dyDescent="0.2">
      <c r="A25" s="171"/>
      <c r="B25" s="172"/>
      <c r="C25" s="227"/>
      <c r="D25" s="227"/>
      <c r="E25" s="227"/>
      <c r="F25" s="173"/>
      <c r="G25" s="243"/>
      <c r="H25" s="244"/>
    </row>
    <row r="26" spans="1:8" ht="15.75" x14ac:dyDescent="0.25">
      <c r="A26" s="19" t="s">
        <v>62</v>
      </c>
      <c r="B26" s="165">
        <f>DATE(23,7,1)</f>
        <v>8583</v>
      </c>
      <c r="C26" s="226">
        <v>0</v>
      </c>
      <c r="D26" s="226">
        <v>0</v>
      </c>
      <c r="E26" s="226">
        <v>0</v>
      </c>
      <c r="F26" s="166">
        <v>0</v>
      </c>
      <c r="G26" s="241">
        <v>0</v>
      </c>
      <c r="H26" s="242">
        <v>0</v>
      </c>
    </row>
    <row r="27" spans="1:8" ht="15.75" x14ac:dyDescent="0.25">
      <c r="A27" s="19"/>
      <c r="B27" s="165">
        <f>DATE(23,8,1)</f>
        <v>8614</v>
      </c>
      <c r="C27" s="226">
        <v>0</v>
      </c>
      <c r="D27" s="226">
        <v>0</v>
      </c>
      <c r="E27" s="226">
        <v>0</v>
      </c>
      <c r="F27" s="166">
        <v>0</v>
      </c>
      <c r="G27" s="241">
        <v>0</v>
      </c>
      <c r="H27" s="242">
        <v>0</v>
      </c>
    </row>
    <row r="28" spans="1:8" ht="15.75" x14ac:dyDescent="0.25">
      <c r="A28" s="19"/>
      <c r="B28" s="165">
        <f>DATE(23,9,1)</f>
        <v>8645</v>
      </c>
      <c r="C28" s="226">
        <v>0</v>
      </c>
      <c r="D28" s="226">
        <v>0</v>
      </c>
      <c r="E28" s="226">
        <v>0</v>
      </c>
      <c r="F28" s="166">
        <v>0</v>
      </c>
      <c r="G28" s="241">
        <v>0</v>
      </c>
      <c r="H28" s="242">
        <v>0</v>
      </c>
    </row>
    <row r="29" spans="1:8" ht="15.75" x14ac:dyDescent="0.25">
      <c r="A29" s="19"/>
      <c r="B29" s="165">
        <f>DATE(23,10,1)</f>
        <v>8675</v>
      </c>
      <c r="C29" s="226">
        <v>0</v>
      </c>
      <c r="D29" s="226">
        <v>0</v>
      </c>
      <c r="E29" s="226">
        <v>0</v>
      </c>
      <c r="F29" s="166">
        <v>0</v>
      </c>
      <c r="G29" s="241">
        <v>0</v>
      </c>
      <c r="H29" s="242">
        <v>0</v>
      </c>
    </row>
    <row r="30" spans="1:8" ht="15.75" x14ac:dyDescent="0.25">
      <c r="A30" s="19"/>
      <c r="B30" s="165">
        <f>DATE(23,11,1)</f>
        <v>8706</v>
      </c>
      <c r="C30" s="226">
        <v>0</v>
      </c>
      <c r="D30" s="226">
        <v>0</v>
      </c>
      <c r="E30" s="226">
        <v>0</v>
      </c>
      <c r="F30" s="166">
        <v>0</v>
      </c>
      <c r="G30" s="241">
        <v>0</v>
      </c>
      <c r="H30" s="242">
        <v>0</v>
      </c>
    </row>
    <row r="31" spans="1:8" ht="15.75" thickBot="1" x14ac:dyDescent="0.25">
      <c r="A31" s="167"/>
      <c r="B31" s="165"/>
      <c r="C31" s="226"/>
      <c r="D31" s="226"/>
      <c r="E31" s="226"/>
      <c r="F31" s="166"/>
      <c r="G31" s="241"/>
      <c r="H31" s="242"/>
    </row>
    <row r="32" spans="1:8" ht="17.25" thickTop="1" thickBot="1" x14ac:dyDescent="0.3">
      <c r="A32" s="174" t="s">
        <v>14</v>
      </c>
      <c r="B32" s="175"/>
      <c r="C32" s="228">
        <f>SUM(C26:C31)</f>
        <v>0</v>
      </c>
      <c r="D32" s="228">
        <f>SUM(D26:D31)</f>
        <v>0</v>
      </c>
      <c r="E32" s="228">
        <f>SUM(E26:E31)</f>
        <v>0</v>
      </c>
      <c r="F32" s="176">
        <v>0</v>
      </c>
      <c r="G32" s="245">
        <v>0</v>
      </c>
      <c r="H32" s="246">
        <v>0</v>
      </c>
    </row>
    <row r="33" spans="1:8" ht="15.75" thickTop="1" x14ac:dyDescent="0.2">
      <c r="A33" s="167"/>
      <c r="B33" s="168"/>
      <c r="C33" s="226"/>
      <c r="D33" s="226"/>
      <c r="E33" s="226"/>
      <c r="F33" s="166"/>
      <c r="G33" s="241"/>
      <c r="H33" s="242"/>
    </row>
    <row r="34" spans="1:8" ht="15.75" x14ac:dyDescent="0.25">
      <c r="A34" s="177" t="s">
        <v>58</v>
      </c>
      <c r="B34" s="165">
        <f>DATE(23,7,1)</f>
        <v>8583</v>
      </c>
      <c r="C34" s="226">
        <v>0</v>
      </c>
      <c r="D34" s="226">
        <v>0</v>
      </c>
      <c r="E34" s="226">
        <v>133555.04</v>
      </c>
      <c r="F34" s="166">
        <v>-1</v>
      </c>
      <c r="G34" s="241">
        <v>0</v>
      </c>
      <c r="H34" s="289">
        <v>0</v>
      </c>
    </row>
    <row r="35" spans="1:8" ht="15.75" x14ac:dyDescent="0.25">
      <c r="A35" s="177"/>
      <c r="B35" s="165">
        <f>DATE(23,8,1)</f>
        <v>8614</v>
      </c>
      <c r="C35" s="226">
        <v>0</v>
      </c>
      <c r="D35" s="226">
        <v>0</v>
      </c>
      <c r="E35" s="226">
        <v>183477.77</v>
      </c>
      <c r="F35" s="166">
        <v>-1</v>
      </c>
      <c r="G35" s="241">
        <v>0</v>
      </c>
      <c r="H35" s="289">
        <v>0</v>
      </c>
    </row>
    <row r="36" spans="1:8" ht="15.75" x14ac:dyDescent="0.25">
      <c r="A36" s="177"/>
      <c r="B36" s="165">
        <f>DATE(23,9,1)</f>
        <v>8645</v>
      </c>
      <c r="C36" s="226">
        <v>0</v>
      </c>
      <c r="D36" s="226">
        <v>0</v>
      </c>
      <c r="E36" s="226">
        <v>155342.66</v>
      </c>
      <c r="F36" s="166">
        <v>-1</v>
      </c>
      <c r="G36" s="241">
        <v>0</v>
      </c>
      <c r="H36" s="289">
        <v>0</v>
      </c>
    </row>
    <row r="37" spans="1:8" ht="15.75" x14ac:dyDescent="0.25">
      <c r="A37" s="177"/>
      <c r="B37" s="165">
        <f>DATE(23,10,1)</f>
        <v>8675</v>
      </c>
      <c r="C37" s="226">
        <v>0</v>
      </c>
      <c r="D37" s="226">
        <v>0</v>
      </c>
      <c r="E37" s="226">
        <v>95342.11</v>
      </c>
      <c r="F37" s="166">
        <v>-1</v>
      </c>
      <c r="G37" s="241">
        <v>0</v>
      </c>
      <c r="H37" s="289">
        <v>0</v>
      </c>
    </row>
    <row r="38" spans="1:8" ht="15.75" x14ac:dyDescent="0.25">
      <c r="A38" s="177"/>
      <c r="B38" s="165">
        <f>DATE(23,11,1)</f>
        <v>8706</v>
      </c>
      <c r="C38" s="226">
        <v>0</v>
      </c>
      <c r="D38" s="226">
        <v>0</v>
      </c>
      <c r="E38" s="226">
        <v>123201.53</v>
      </c>
      <c r="F38" s="166">
        <v>-1</v>
      </c>
      <c r="G38" s="241">
        <v>0</v>
      </c>
      <c r="H38" s="289">
        <v>0</v>
      </c>
    </row>
    <row r="39" spans="1:8" ht="15.75" thickBot="1" x14ac:dyDescent="0.25">
      <c r="A39" s="167"/>
      <c r="B39" s="168"/>
      <c r="C39" s="226"/>
      <c r="D39" s="226"/>
      <c r="E39" s="226"/>
      <c r="F39" s="166"/>
      <c r="G39" s="241"/>
      <c r="H39" s="242"/>
    </row>
    <row r="40" spans="1:8" ht="17.25" thickTop="1" thickBot="1" x14ac:dyDescent="0.3">
      <c r="A40" s="174" t="s">
        <v>14</v>
      </c>
      <c r="B40" s="178"/>
      <c r="C40" s="228">
        <f>SUM(C34:C39)</f>
        <v>0</v>
      </c>
      <c r="D40" s="228">
        <f>SUM(D34:D39)</f>
        <v>0</v>
      </c>
      <c r="E40" s="228">
        <f>SUM(E34:E39)</f>
        <v>690919.11</v>
      </c>
      <c r="F40" s="176">
        <f>+(D40-E40)/E40</f>
        <v>-1</v>
      </c>
      <c r="G40" s="245">
        <v>0</v>
      </c>
      <c r="H40" s="246">
        <v>0</v>
      </c>
    </row>
    <row r="41" spans="1:8" ht="15.75" thickTop="1" x14ac:dyDescent="0.2">
      <c r="A41" s="167"/>
      <c r="B41" s="168"/>
      <c r="C41" s="226"/>
      <c r="D41" s="226"/>
      <c r="E41" s="226"/>
      <c r="F41" s="166"/>
      <c r="G41" s="241"/>
      <c r="H41" s="242"/>
    </row>
    <row r="42" spans="1:8" ht="15.75" x14ac:dyDescent="0.25">
      <c r="A42" s="164" t="s">
        <v>60</v>
      </c>
      <c r="B42" s="165">
        <f>DATE(23,7,1)</f>
        <v>8583</v>
      </c>
      <c r="C42" s="226">
        <v>0</v>
      </c>
      <c r="D42" s="226">
        <v>0</v>
      </c>
      <c r="E42" s="226">
        <v>0</v>
      </c>
      <c r="F42" s="166">
        <v>0</v>
      </c>
      <c r="G42" s="241">
        <v>0</v>
      </c>
      <c r="H42" s="242">
        <v>0</v>
      </c>
    </row>
    <row r="43" spans="1:8" ht="15.75" x14ac:dyDescent="0.25">
      <c r="A43" s="164"/>
      <c r="B43" s="165">
        <f>DATE(23,8,1)</f>
        <v>8614</v>
      </c>
      <c r="C43" s="226">
        <v>0</v>
      </c>
      <c r="D43" s="226">
        <v>0</v>
      </c>
      <c r="E43" s="226">
        <v>0</v>
      </c>
      <c r="F43" s="166">
        <v>0</v>
      </c>
      <c r="G43" s="241">
        <v>0</v>
      </c>
      <c r="H43" s="242">
        <v>0</v>
      </c>
    </row>
    <row r="44" spans="1:8" ht="15.75" x14ac:dyDescent="0.25">
      <c r="A44" s="164"/>
      <c r="B44" s="165">
        <f>DATE(23,9,1)</f>
        <v>8645</v>
      </c>
      <c r="C44" s="226">
        <v>0</v>
      </c>
      <c r="D44" s="226">
        <v>0</v>
      </c>
      <c r="E44" s="226">
        <v>0</v>
      </c>
      <c r="F44" s="166">
        <v>0</v>
      </c>
      <c r="G44" s="241">
        <v>0</v>
      </c>
      <c r="H44" s="242">
        <v>0</v>
      </c>
    </row>
    <row r="45" spans="1:8" ht="15.75" x14ac:dyDescent="0.25">
      <c r="A45" s="164"/>
      <c r="B45" s="165">
        <f>DATE(23,10,1)</f>
        <v>8675</v>
      </c>
      <c r="C45" s="226">
        <v>0</v>
      </c>
      <c r="D45" s="226">
        <v>0</v>
      </c>
      <c r="E45" s="226">
        <v>0</v>
      </c>
      <c r="F45" s="166">
        <v>0</v>
      </c>
      <c r="G45" s="241">
        <v>0</v>
      </c>
      <c r="H45" s="242">
        <v>0</v>
      </c>
    </row>
    <row r="46" spans="1:8" ht="15.75" x14ac:dyDescent="0.25">
      <c r="A46" s="164"/>
      <c r="B46" s="165">
        <f>DATE(23,11,1)</f>
        <v>8706</v>
      </c>
      <c r="C46" s="226">
        <v>0</v>
      </c>
      <c r="D46" s="226">
        <v>0</v>
      </c>
      <c r="E46" s="226">
        <v>0</v>
      </c>
      <c r="F46" s="166">
        <v>0</v>
      </c>
      <c r="G46" s="241">
        <v>0</v>
      </c>
      <c r="H46" s="242">
        <v>0</v>
      </c>
    </row>
    <row r="47" spans="1:8" ht="15.75" thickBot="1" x14ac:dyDescent="0.25">
      <c r="A47" s="167"/>
      <c r="B47" s="165"/>
      <c r="C47" s="226"/>
      <c r="D47" s="226"/>
      <c r="E47" s="226"/>
      <c r="F47" s="166"/>
      <c r="G47" s="241"/>
      <c r="H47" s="242"/>
    </row>
    <row r="48" spans="1:8" ht="17.25" thickTop="1" thickBot="1" x14ac:dyDescent="0.3">
      <c r="A48" s="174" t="s">
        <v>14</v>
      </c>
      <c r="B48" s="175"/>
      <c r="C48" s="228">
        <f>SUM(C42:C47)</f>
        <v>0</v>
      </c>
      <c r="D48" s="230">
        <f>SUM(D42:D47)</f>
        <v>0</v>
      </c>
      <c r="E48" s="271">
        <f>SUM(E42:E47)</f>
        <v>0</v>
      </c>
      <c r="F48" s="176">
        <v>0</v>
      </c>
      <c r="G48" s="245">
        <v>0</v>
      </c>
      <c r="H48" s="246">
        <v>0</v>
      </c>
    </row>
    <row r="49" spans="1:8" ht="15.75" thickTop="1" x14ac:dyDescent="0.2">
      <c r="A49" s="167"/>
      <c r="B49" s="168"/>
      <c r="C49" s="226"/>
      <c r="D49" s="226"/>
      <c r="E49" s="226"/>
      <c r="F49" s="166"/>
      <c r="G49" s="241"/>
      <c r="H49" s="242"/>
    </row>
    <row r="50" spans="1:8" ht="15.75" x14ac:dyDescent="0.25">
      <c r="A50" s="164" t="s">
        <v>64</v>
      </c>
      <c r="B50" s="165">
        <f>DATE(23,7,1)</f>
        <v>8583</v>
      </c>
      <c r="C50" s="226">
        <v>0</v>
      </c>
      <c r="D50" s="226">
        <v>0</v>
      </c>
      <c r="E50" s="226">
        <v>0</v>
      </c>
      <c r="F50" s="166">
        <v>0</v>
      </c>
      <c r="G50" s="241">
        <v>0</v>
      </c>
      <c r="H50" s="242">
        <v>0</v>
      </c>
    </row>
    <row r="51" spans="1:8" ht="15.75" x14ac:dyDescent="0.25">
      <c r="A51" s="164"/>
      <c r="B51" s="165">
        <f>DATE(23,8,1)</f>
        <v>8614</v>
      </c>
      <c r="C51" s="226">
        <v>0</v>
      </c>
      <c r="D51" s="226">
        <v>0</v>
      </c>
      <c r="E51" s="226">
        <v>0</v>
      </c>
      <c r="F51" s="166">
        <v>0</v>
      </c>
      <c r="G51" s="241">
        <v>0</v>
      </c>
      <c r="H51" s="242">
        <v>0</v>
      </c>
    </row>
    <row r="52" spans="1:8" ht="15.75" x14ac:dyDescent="0.25">
      <c r="A52" s="164"/>
      <c r="B52" s="165">
        <f>DATE(23,9,1)</f>
        <v>8645</v>
      </c>
      <c r="C52" s="226">
        <v>0</v>
      </c>
      <c r="D52" s="226">
        <v>0</v>
      </c>
      <c r="E52" s="226">
        <v>0</v>
      </c>
      <c r="F52" s="166">
        <v>0</v>
      </c>
      <c r="G52" s="241">
        <v>0</v>
      </c>
      <c r="H52" s="242">
        <v>0</v>
      </c>
    </row>
    <row r="53" spans="1:8" ht="15.75" x14ac:dyDescent="0.25">
      <c r="A53" s="164"/>
      <c r="B53" s="165">
        <f>DATE(23,10,1)</f>
        <v>8675</v>
      </c>
      <c r="C53" s="226">
        <v>0</v>
      </c>
      <c r="D53" s="226">
        <v>0</v>
      </c>
      <c r="E53" s="226">
        <v>0</v>
      </c>
      <c r="F53" s="166">
        <v>0</v>
      </c>
      <c r="G53" s="241">
        <v>0</v>
      </c>
      <c r="H53" s="242">
        <v>0</v>
      </c>
    </row>
    <row r="54" spans="1:8" ht="15.75" x14ac:dyDescent="0.25">
      <c r="A54" s="164"/>
      <c r="B54" s="165">
        <f>DATE(23,11,1)</f>
        <v>8706</v>
      </c>
      <c r="C54" s="226">
        <v>0</v>
      </c>
      <c r="D54" s="226">
        <v>0</v>
      </c>
      <c r="E54" s="226">
        <v>0</v>
      </c>
      <c r="F54" s="166">
        <v>0</v>
      </c>
      <c r="G54" s="241">
        <v>0</v>
      </c>
      <c r="H54" s="242">
        <v>0</v>
      </c>
    </row>
    <row r="55" spans="1:8" ht="15.75" thickBot="1" x14ac:dyDescent="0.25">
      <c r="A55" s="167"/>
      <c r="B55" s="165"/>
      <c r="C55" s="226"/>
      <c r="D55" s="226"/>
      <c r="E55" s="226"/>
      <c r="F55" s="166"/>
      <c r="G55" s="241"/>
      <c r="H55" s="242"/>
    </row>
    <row r="56" spans="1:8" ht="17.25" thickTop="1" thickBot="1" x14ac:dyDescent="0.3">
      <c r="A56" s="174" t="s">
        <v>14</v>
      </c>
      <c r="B56" s="175"/>
      <c r="C56" s="228">
        <f>SUM(C50:C55)</f>
        <v>0</v>
      </c>
      <c r="D56" s="230">
        <f>SUM(D50:D55)</f>
        <v>0</v>
      </c>
      <c r="E56" s="271">
        <f>SUM(E50:E55)</f>
        <v>0</v>
      </c>
      <c r="F56" s="176">
        <v>0</v>
      </c>
      <c r="G56" s="245">
        <v>0</v>
      </c>
      <c r="H56" s="246">
        <v>0</v>
      </c>
    </row>
    <row r="57" spans="1:8" ht="15.75" thickTop="1" x14ac:dyDescent="0.2">
      <c r="A57" s="167"/>
      <c r="B57" s="168"/>
      <c r="C57" s="226"/>
      <c r="D57" s="226"/>
      <c r="E57" s="226"/>
      <c r="F57" s="166"/>
      <c r="G57" s="241"/>
      <c r="H57" s="242"/>
    </row>
    <row r="58" spans="1:8" ht="15.75" x14ac:dyDescent="0.25">
      <c r="A58" s="164" t="s">
        <v>67</v>
      </c>
      <c r="B58" s="165">
        <f>DATE(23,7,1)</f>
        <v>8583</v>
      </c>
      <c r="C58" s="226">
        <v>0</v>
      </c>
      <c r="D58" s="226">
        <v>0</v>
      </c>
      <c r="E58" s="226">
        <v>0</v>
      </c>
      <c r="F58" s="166">
        <v>0</v>
      </c>
      <c r="G58" s="241">
        <v>0</v>
      </c>
      <c r="H58" s="242">
        <v>0</v>
      </c>
    </row>
    <row r="59" spans="1:8" ht="15.75" x14ac:dyDescent="0.25">
      <c r="A59" s="164"/>
      <c r="B59" s="165">
        <f>DATE(23,8,1)</f>
        <v>8614</v>
      </c>
      <c r="C59" s="226">
        <v>0</v>
      </c>
      <c r="D59" s="226">
        <v>0</v>
      </c>
      <c r="E59" s="226">
        <v>0</v>
      </c>
      <c r="F59" s="166">
        <v>0</v>
      </c>
      <c r="G59" s="241">
        <v>0</v>
      </c>
      <c r="H59" s="242">
        <v>0</v>
      </c>
    </row>
    <row r="60" spans="1:8" ht="15.75" x14ac:dyDescent="0.25">
      <c r="A60" s="164"/>
      <c r="B60" s="165">
        <f>DATE(23,9,1)</f>
        <v>8645</v>
      </c>
      <c r="C60" s="226">
        <v>0</v>
      </c>
      <c r="D60" s="226">
        <v>0</v>
      </c>
      <c r="E60" s="226">
        <v>0</v>
      </c>
      <c r="F60" s="166">
        <v>0</v>
      </c>
      <c r="G60" s="241">
        <v>0</v>
      </c>
      <c r="H60" s="242">
        <v>0</v>
      </c>
    </row>
    <row r="61" spans="1:8" ht="15.75" x14ac:dyDescent="0.25">
      <c r="A61" s="164"/>
      <c r="B61" s="165">
        <f>DATE(23,10,1)</f>
        <v>8675</v>
      </c>
      <c r="C61" s="226">
        <v>0</v>
      </c>
      <c r="D61" s="226">
        <v>0</v>
      </c>
      <c r="E61" s="226">
        <v>0</v>
      </c>
      <c r="F61" s="166">
        <v>0</v>
      </c>
      <c r="G61" s="241">
        <v>0</v>
      </c>
      <c r="H61" s="242">
        <v>0</v>
      </c>
    </row>
    <row r="62" spans="1:8" ht="15.75" x14ac:dyDescent="0.25">
      <c r="A62" s="164"/>
      <c r="B62" s="165">
        <f>DATE(23,11,1)</f>
        <v>8706</v>
      </c>
      <c r="C62" s="226">
        <v>0</v>
      </c>
      <c r="D62" s="226">
        <v>0</v>
      </c>
      <c r="E62" s="226">
        <v>0</v>
      </c>
      <c r="F62" s="166">
        <v>0</v>
      </c>
      <c r="G62" s="241">
        <v>0</v>
      </c>
      <c r="H62" s="242">
        <v>0</v>
      </c>
    </row>
    <row r="63" spans="1:8" ht="15.75" thickBot="1" x14ac:dyDescent="0.25">
      <c r="A63" s="167"/>
      <c r="B63" s="165"/>
      <c r="C63" s="226"/>
      <c r="D63" s="226"/>
      <c r="E63" s="226"/>
      <c r="F63" s="166"/>
      <c r="G63" s="241"/>
      <c r="H63" s="242"/>
    </row>
    <row r="64" spans="1:8" ht="17.25" thickTop="1" thickBot="1" x14ac:dyDescent="0.3">
      <c r="A64" s="174" t="s">
        <v>14</v>
      </c>
      <c r="B64" s="175"/>
      <c r="C64" s="228">
        <f>SUM(C58:C63)</f>
        <v>0</v>
      </c>
      <c r="D64" s="230">
        <f>SUM(D58:D63)</f>
        <v>0</v>
      </c>
      <c r="E64" s="271">
        <f>SUM(E58:E63)</f>
        <v>0</v>
      </c>
      <c r="F64" s="176">
        <v>0</v>
      </c>
      <c r="G64" s="245">
        <v>0</v>
      </c>
      <c r="H64" s="246">
        <v>0</v>
      </c>
    </row>
    <row r="65" spans="1:8" ht="15.75" thickTop="1" x14ac:dyDescent="0.2">
      <c r="A65" s="167"/>
      <c r="B65" s="168"/>
      <c r="C65" s="226"/>
      <c r="D65" s="226"/>
      <c r="E65" s="226"/>
      <c r="F65" s="166"/>
      <c r="G65" s="241"/>
      <c r="H65" s="242"/>
    </row>
    <row r="66" spans="1:8" ht="15.75" x14ac:dyDescent="0.25">
      <c r="A66" s="164" t="s">
        <v>69</v>
      </c>
      <c r="B66" s="165">
        <f>DATE(23,7,1)</f>
        <v>8583</v>
      </c>
      <c r="C66" s="226">
        <v>0</v>
      </c>
      <c r="D66" s="226">
        <v>0</v>
      </c>
      <c r="E66" s="226">
        <v>0</v>
      </c>
      <c r="F66" s="166">
        <v>0</v>
      </c>
      <c r="G66" s="241">
        <v>0</v>
      </c>
      <c r="H66" s="242">
        <v>0</v>
      </c>
    </row>
    <row r="67" spans="1:8" ht="15.75" x14ac:dyDescent="0.25">
      <c r="A67" s="164"/>
      <c r="B67" s="165">
        <f>DATE(23,8,1)</f>
        <v>8614</v>
      </c>
      <c r="C67" s="226">
        <v>0</v>
      </c>
      <c r="D67" s="226">
        <v>0</v>
      </c>
      <c r="E67" s="226">
        <v>0</v>
      </c>
      <c r="F67" s="166">
        <v>0</v>
      </c>
      <c r="G67" s="241">
        <v>0</v>
      </c>
      <c r="H67" s="242">
        <v>0</v>
      </c>
    </row>
    <row r="68" spans="1:8" ht="15.75" x14ac:dyDescent="0.25">
      <c r="A68" s="164"/>
      <c r="B68" s="165">
        <f>DATE(23,9,1)</f>
        <v>8645</v>
      </c>
      <c r="C68" s="226">
        <v>0</v>
      </c>
      <c r="D68" s="226">
        <v>0</v>
      </c>
      <c r="E68" s="226">
        <v>0</v>
      </c>
      <c r="F68" s="166">
        <v>0</v>
      </c>
      <c r="G68" s="241">
        <v>0</v>
      </c>
      <c r="H68" s="242">
        <v>0</v>
      </c>
    </row>
    <row r="69" spans="1:8" ht="15.75" x14ac:dyDescent="0.25">
      <c r="A69" s="164"/>
      <c r="B69" s="165">
        <f>DATE(23,10,1)</f>
        <v>8675</v>
      </c>
      <c r="C69" s="226">
        <v>0</v>
      </c>
      <c r="D69" s="226">
        <v>0</v>
      </c>
      <c r="E69" s="226">
        <v>0</v>
      </c>
      <c r="F69" s="166">
        <v>0</v>
      </c>
      <c r="G69" s="241">
        <v>0</v>
      </c>
      <c r="H69" s="242">
        <v>0</v>
      </c>
    </row>
    <row r="70" spans="1:8" ht="15.75" x14ac:dyDescent="0.25">
      <c r="A70" s="164"/>
      <c r="B70" s="165">
        <f>DATE(23,11,1)</f>
        <v>8706</v>
      </c>
      <c r="C70" s="226">
        <v>0</v>
      </c>
      <c r="D70" s="226">
        <v>0</v>
      </c>
      <c r="E70" s="226">
        <v>0</v>
      </c>
      <c r="F70" s="166">
        <v>0</v>
      </c>
      <c r="G70" s="241">
        <v>0</v>
      </c>
      <c r="H70" s="242">
        <v>0</v>
      </c>
    </row>
    <row r="71" spans="1:8" ht="15.75" thickBot="1" x14ac:dyDescent="0.25">
      <c r="A71" s="167"/>
      <c r="B71" s="165"/>
      <c r="C71" s="226"/>
      <c r="D71" s="226"/>
      <c r="E71" s="226"/>
      <c r="F71" s="166"/>
      <c r="G71" s="241"/>
      <c r="H71" s="242"/>
    </row>
    <row r="72" spans="1:8" ht="17.25" thickTop="1" thickBot="1" x14ac:dyDescent="0.3">
      <c r="A72" s="174" t="s">
        <v>14</v>
      </c>
      <c r="B72" s="175"/>
      <c r="C72" s="228">
        <f>SUM(C66:C71)</f>
        <v>0</v>
      </c>
      <c r="D72" s="230">
        <f>SUM(D66:D71)</f>
        <v>0</v>
      </c>
      <c r="E72" s="271">
        <f>SUM(E66:E71)</f>
        <v>0</v>
      </c>
      <c r="F72" s="176">
        <v>0</v>
      </c>
      <c r="G72" s="249">
        <v>0</v>
      </c>
      <c r="H72" s="270">
        <v>0</v>
      </c>
    </row>
    <row r="73" spans="1:8" ht="15.75" thickTop="1" x14ac:dyDescent="0.2">
      <c r="A73" s="167"/>
      <c r="B73" s="179"/>
      <c r="C73" s="229"/>
      <c r="D73" s="229"/>
      <c r="E73" s="229"/>
      <c r="F73" s="180"/>
      <c r="G73" s="247"/>
      <c r="H73" s="248"/>
    </row>
    <row r="74" spans="1:8" ht="15.75" x14ac:dyDescent="0.25">
      <c r="A74" s="164" t="s">
        <v>16</v>
      </c>
      <c r="B74" s="165">
        <f>DATE(23,7,1)</f>
        <v>8583</v>
      </c>
      <c r="C74" s="226">
        <v>0</v>
      </c>
      <c r="D74" s="226">
        <v>0</v>
      </c>
      <c r="E74" s="226">
        <v>0</v>
      </c>
      <c r="F74" s="166">
        <v>0</v>
      </c>
      <c r="G74" s="241">
        <v>0</v>
      </c>
      <c r="H74" s="242">
        <v>0</v>
      </c>
    </row>
    <row r="75" spans="1:8" ht="15.75" x14ac:dyDescent="0.25">
      <c r="A75" s="164"/>
      <c r="B75" s="165">
        <f>DATE(23,8,1)</f>
        <v>8614</v>
      </c>
      <c r="C75" s="226">
        <v>0</v>
      </c>
      <c r="D75" s="226">
        <v>0</v>
      </c>
      <c r="E75" s="226">
        <v>0</v>
      </c>
      <c r="F75" s="166">
        <v>0</v>
      </c>
      <c r="G75" s="241">
        <v>0</v>
      </c>
      <c r="H75" s="242">
        <v>0</v>
      </c>
    </row>
    <row r="76" spans="1:8" ht="15.75" x14ac:dyDescent="0.25">
      <c r="A76" s="164"/>
      <c r="B76" s="165">
        <f>DATE(23,9,1)</f>
        <v>8645</v>
      </c>
      <c r="C76" s="226">
        <v>0</v>
      </c>
      <c r="D76" s="226">
        <v>0</v>
      </c>
      <c r="E76" s="226">
        <v>0</v>
      </c>
      <c r="F76" s="166">
        <v>0</v>
      </c>
      <c r="G76" s="241">
        <v>0</v>
      </c>
      <c r="H76" s="242">
        <v>0</v>
      </c>
    </row>
    <row r="77" spans="1:8" ht="15.75" x14ac:dyDescent="0.25">
      <c r="A77" s="164"/>
      <c r="B77" s="165">
        <f>DATE(23,10,1)</f>
        <v>8675</v>
      </c>
      <c r="C77" s="226">
        <v>0</v>
      </c>
      <c r="D77" s="226">
        <v>0</v>
      </c>
      <c r="E77" s="226">
        <v>0</v>
      </c>
      <c r="F77" s="166">
        <v>0</v>
      </c>
      <c r="G77" s="241">
        <v>0</v>
      </c>
      <c r="H77" s="242">
        <v>0</v>
      </c>
    </row>
    <row r="78" spans="1:8" ht="15.75" x14ac:dyDescent="0.25">
      <c r="A78" s="164"/>
      <c r="B78" s="165">
        <f>DATE(23,11,1)</f>
        <v>8706</v>
      </c>
      <c r="C78" s="226">
        <v>0</v>
      </c>
      <c r="D78" s="226">
        <v>0</v>
      </c>
      <c r="E78" s="226">
        <v>0</v>
      </c>
      <c r="F78" s="166">
        <v>0</v>
      </c>
      <c r="G78" s="241">
        <v>0</v>
      </c>
      <c r="H78" s="242">
        <v>0</v>
      </c>
    </row>
    <row r="79" spans="1:8" ht="16.5" thickBot="1" x14ac:dyDescent="0.3">
      <c r="A79" s="164"/>
      <c r="B79" s="165"/>
      <c r="C79" s="226"/>
      <c r="D79" s="226"/>
      <c r="E79" s="226"/>
      <c r="F79" s="166"/>
      <c r="G79" s="241"/>
      <c r="H79" s="242"/>
    </row>
    <row r="80" spans="1:8" ht="17.25" thickTop="1" thickBot="1" x14ac:dyDescent="0.3">
      <c r="A80" s="174" t="s">
        <v>14</v>
      </c>
      <c r="B80" s="181"/>
      <c r="C80" s="228">
        <f>SUM(C74:C79)</f>
        <v>0</v>
      </c>
      <c r="D80" s="228">
        <f>SUM(D74:D79)</f>
        <v>0</v>
      </c>
      <c r="E80" s="228">
        <f>SUM(E74:E79)</f>
        <v>0</v>
      </c>
      <c r="F80" s="176">
        <v>0</v>
      </c>
      <c r="G80" s="245">
        <v>0</v>
      </c>
      <c r="H80" s="246">
        <v>0</v>
      </c>
    </row>
    <row r="81" spans="1:8" ht="15.75" thickTop="1" x14ac:dyDescent="0.2">
      <c r="A81" s="171"/>
      <c r="B81" s="172"/>
      <c r="C81" s="227"/>
      <c r="D81" s="227"/>
      <c r="E81" s="227"/>
      <c r="F81" s="173"/>
      <c r="G81" s="243"/>
      <c r="H81" s="244"/>
    </row>
    <row r="82" spans="1:8" ht="15.75" x14ac:dyDescent="0.25">
      <c r="A82" s="164" t="s">
        <v>53</v>
      </c>
      <c r="B82" s="165">
        <f>DATE(23,7,1)</f>
        <v>8583</v>
      </c>
      <c r="C82" s="226">
        <v>0</v>
      </c>
      <c r="D82" s="226">
        <v>0</v>
      </c>
      <c r="E82" s="226">
        <v>0</v>
      </c>
      <c r="F82" s="166">
        <v>0</v>
      </c>
      <c r="G82" s="241">
        <v>0</v>
      </c>
      <c r="H82" s="242">
        <v>0</v>
      </c>
    </row>
    <row r="83" spans="1:8" ht="15.75" x14ac:dyDescent="0.25">
      <c r="A83" s="164"/>
      <c r="B83" s="165">
        <f>DATE(23,8,1)</f>
        <v>8614</v>
      </c>
      <c r="C83" s="226">
        <v>0</v>
      </c>
      <c r="D83" s="226">
        <v>0</v>
      </c>
      <c r="E83" s="226">
        <v>0</v>
      </c>
      <c r="F83" s="166">
        <v>0</v>
      </c>
      <c r="G83" s="241">
        <v>0</v>
      </c>
      <c r="H83" s="242">
        <v>0</v>
      </c>
    </row>
    <row r="84" spans="1:8" ht="15.75" x14ac:dyDescent="0.25">
      <c r="A84" s="164"/>
      <c r="B84" s="165">
        <f>DATE(23,9,1)</f>
        <v>8645</v>
      </c>
      <c r="C84" s="226">
        <v>0</v>
      </c>
      <c r="D84" s="226">
        <v>0</v>
      </c>
      <c r="E84" s="226">
        <v>0</v>
      </c>
      <c r="F84" s="166">
        <v>0</v>
      </c>
      <c r="G84" s="241">
        <v>0</v>
      </c>
      <c r="H84" s="242">
        <v>0</v>
      </c>
    </row>
    <row r="85" spans="1:8" ht="15.75" x14ac:dyDescent="0.25">
      <c r="A85" s="164"/>
      <c r="B85" s="165">
        <f>DATE(23,10,1)</f>
        <v>8675</v>
      </c>
      <c r="C85" s="226">
        <v>0</v>
      </c>
      <c r="D85" s="226">
        <v>0</v>
      </c>
      <c r="E85" s="226">
        <v>0</v>
      </c>
      <c r="F85" s="166">
        <v>0</v>
      </c>
      <c r="G85" s="241">
        <v>0</v>
      </c>
      <c r="H85" s="242">
        <v>0</v>
      </c>
    </row>
    <row r="86" spans="1:8" ht="15.75" x14ac:dyDescent="0.25">
      <c r="A86" s="164"/>
      <c r="B86" s="165">
        <f>DATE(23,11,1)</f>
        <v>8706</v>
      </c>
      <c r="C86" s="226">
        <v>0</v>
      </c>
      <c r="D86" s="226">
        <v>0</v>
      </c>
      <c r="E86" s="226">
        <v>0</v>
      </c>
      <c r="F86" s="166">
        <v>0</v>
      </c>
      <c r="G86" s="241">
        <v>0</v>
      </c>
      <c r="H86" s="242">
        <v>0</v>
      </c>
    </row>
    <row r="87" spans="1:8" ht="15.75" thickBot="1" x14ac:dyDescent="0.25">
      <c r="A87" s="167"/>
      <c r="B87" s="168"/>
      <c r="C87" s="226"/>
      <c r="D87" s="226"/>
      <c r="E87" s="226"/>
      <c r="F87" s="166"/>
      <c r="G87" s="241"/>
      <c r="H87" s="242"/>
    </row>
    <row r="88" spans="1:8" ht="17.25" thickTop="1" thickBot="1" x14ac:dyDescent="0.3">
      <c r="A88" s="174" t="s">
        <v>14</v>
      </c>
      <c r="B88" s="175"/>
      <c r="C88" s="228">
        <f>SUM(C82:C87)</f>
        <v>0</v>
      </c>
      <c r="D88" s="228">
        <f>SUM(D82:D87)</f>
        <v>0</v>
      </c>
      <c r="E88" s="228">
        <f>SUM(E82:E87)</f>
        <v>0</v>
      </c>
      <c r="F88" s="176">
        <v>0</v>
      </c>
      <c r="G88" s="245">
        <v>0</v>
      </c>
      <c r="H88" s="246">
        <v>0</v>
      </c>
    </row>
    <row r="89" spans="1:8" ht="15.75" thickTop="1" x14ac:dyDescent="0.2">
      <c r="A89" s="167"/>
      <c r="B89" s="168"/>
      <c r="C89" s="226"/>
      <c r="D89" s="226"/>
      <c r="E89" s="226"/>
      <c r="F89" s="166"/>
      <c r="G89" s="241"/>
      <c r="H89" s="242"/>
    </row>
    <row r="90" spans="1:8" ht="15.75" x14ac:dyDescent="0.25">
      <c r="A90" s="164" t="s">
        <v>54</v>
      </c>
      <c r="B90" s="165">
        <f>DATE(23,7,1)</f>
        <v>8583</v>
      </c>
      <c r="C90" s="226">
        <v>0</v>
      </c>
      <c r="D90" s="226">
        <v>0</v>
      </c>
      <c r="E90" s="226">
        <v>0</v>
      </c>
      <c r="F90" s="166">
        <v>0</v>
      </c>
      <c r="G90" s="241">
        <v>0</v>
      </c>
      <c r="H90" s="242">
        <v>0</v>
      </c>
    </row>
    <row r="91" spans="1:8" ht="15.75" x14ac:dyDescent="0.25">
      <c r="A91" s="164"/>
      <c r="B91" s="165">
        <f>DATE(23,8,1)</f>
        <v>8614</v>
      </c>
      <c r="C91" s="226">
        <v>0</v>
      </c>
      <c r="D91" s="226">
        <v>0</v>
      </c>
      <c r="E91" s="226">
        <v>0</v>
      </c>
      <c r="F91" s="166">
        <v>0</v>
      </c>
      <c r="G91" s="241">
        <v>0</v>
      </c>
      <c r="H91" s="242">
        <v>0</v>
      </c>
    </row>
    <row r="92" spans="1:8" ht="15.75" x14ac:dyDescent="0.25">
      <c r="A92" s="164"/>
      <c r="B92" s="165">
        <f>DATE(23,9,1)</f>
        <v>8645</v>
      </c>
      <c r="C92" s="226">
        <v>0</v>
      </c>
      <c r="D92" s="226">
        <v>0</v>
      </c>
      <c r="E92" s="226">
        <v>0</v>
      </c>
      <c r="F92" s="166">
        <v>0</v>
      </c>
      <c r="G92" s="241">
        <v>0</v>
      </c>
      <c r="H92" s="242">
        <v>0</v>
      </c>
    </row>
    <row r="93" spans="1:8" ht="15.75" x14ac:dyDescent="0.25">
      <c r="A93" s="164"/>
      <c r="B93" s="165">
        <f>DATE(23,10,1)</f>
        <v>8675</v>
      </c>
      <c r="C93" s="226">
        <v>0</v>
      </c>
      <c r="D93" s="226">
        <v>0</v>
      </c>
      <c r="E93" s="226">
        <v>0</v>
      </c>
      <c r="F93" s="166">
        <v>0</v>
      </c>
      <c r="G93" s="241">
        <v>0</v>
      </c>
      <c r="H93" s="242">
        <v>0</v>
      </c>
    </row>
    <row r="94" spans="1:8" ht="15.75" x14ac:dyDescent="0.25">
      <c r="A94" s="164"/>
      <c r="B94" s="165">
        <f>DATE(23,11,1)</f>
        <v>8706</v>
      </c>
      <c r="C94" s="226">
        <v>0</v>
      </c>
      <c r="D94" s="226">
        <v>0</v>
      </c>
      <c r="E94" s="226">
        <v>0</v>
      </c>
      <c r="F94" s="166">
        <v>0</v>
      </c>
      <c r="G94" s="241">
        <v>0</v>
      </c>
      <c r="H94" s="242">
        <v>0</v>
      </c>
    </row>
    <row r="95" spans="1:8" ht="15.75" thickBot="1" x14ac:dyDescent="0.25">
      <c r="A95" s="167"/>
      <c r="B95" s="168"/>
      <c r="C95" s="226"/>
      <c r="D95" s="226"/>
      <c r="E95" s="226"/>
      <c r="F95" s="166"/>
      <c r="G95" s="241"/>
      <c r="H95" s="242"/>
    </row>
    <row r="96" spans="1:8" ht="17.25" thickTop="1" thickBot="1" x14ac:dyDescent="0.3">
      <c r="A96" s="182" t="s">
        <v>14</v>
      </c>
      <c r="B96" s="183"/>
      <c r="C96" s="230">
        <f>SUM(C90:C95)</f>
        <v>0</v>
      </c>
      <c r="D96" s="230">
        <f>SUM(D90:D95)</f>
        <v>0</v>
      </c>
      <c r="E96" s="230">
        <f>SUM(E90:E95)</f>
        <v>0</v>
      </c>
      <c r="F96" s="176">
        <v>0</v>
      </c>
      <c r="G96" s="245">
        <v>0</v>
      </c>
      <c r="H96" s="246">
        <v>0</v>
      </c>
    </row>
    <row r="97" spans="1:8" ht="15.75" thickTop="1" x14ac:dyDescent="0.2">
      <c r="A97" s="167"/>
      <c r="B97" s="168"/>
      <c r="C97" s="226"/>
      <c r="D97" s="226"/>
      <c r="E97" s="226"/>
      <c r="F97" s="166"/>
      <c r="G97" s="241"/>
      <c r="H97" s="242"/>
    </row>
    <row r="98" spans="1:8" ht="15.75" x14ac:dyDescent="0.25">
      <c r="A98" s="164" t="s">
        <v>37</v>
      </c>
      <c r="B98" s="165">
        <f>DATE(23,7,1)</f>
        <v>8583</v>
      </c>
      <c r="C98" s="226">
        <v>3921585</v>
      </c>
      <c r="D98" s="226">
        <v>179389.2</v>
      </c>
      <c r="E98" s="226">
        <v>215844.68</v>
      </c>
      <c r="F98" s="166">
        <f>+(D98-E98)/E98</f>
        <v>-0.16889681969460624</v>
      </c>
      <c r="G98" s="241">
        <f>+D98/C98</f>
        <v>4.5744055018570304E-2</v>
      </c>
      <c r="H98" s="289">
        <f>1-G98</f>
        <v>0.95425594498142974</v>
      </c>
    </row>
    <row r="99" spans="1:8" ht="15.75" x14ac:dyDescent="0.25">
      <c r="A99" s="164"/>
      <c r="B99" s="165">
        <f>DATE(23,8,1)</f>
        <v>8614</v>
      </c>
      <c r="C99" s="226">
        <v>4810863</v>
      </c>
      <c r="D99" s="226">
        <v>198288.36</v>
      </c>
      <c r="E99" s="226">
        <v>222475.66</v>
      </c>
      <c r="F99" s="166">
        <f>+(D99-E99)/E99</f>
        <v>-0.10871885940241741</v>
      </c>
      <c r="G99" s="241">
        <f>+D99/C99</f>
        <v>4.1216796238013845E-2</v>
      </c>
      <c r="H99" s="289">
        <f>1-G99</f>
        <v>0.95878320376198611</v>
      </c>
    </row>
    <row r="100" spans="1:8" ht="15.75" x14ac:dyDescent="0.25">
      <c r="A100" s="164"/>
      <c r="B100" s="165">
        <f>DATE(23,9,1)</f>
        <v>8645</v>
      </c>
      <c r="C100" s="226">
        <v>4650603.5</v>
      </c>
      <c r="D100" s="226">
        <v>223122.42</v>
      </c>
      <c r="E100" s="226">
        <v>213180.35</v>
      </c>
      <c r="F100" s="166">
        <f>+(D100-E100)/E100</f>
        <v>4.6636896880974284E-2</v>
      </c>
      <c r="G100" s="241">
        <f>+D100/C100</f>
        <v>4.797708942506064E-2</v>
      </c>
      <c r="H100" s="289">
        <f>1-G100</f>
        <v>0.95202291057493937</v>
      </c>
    </row>
    <row r="101" spans="1:8" ht="15.75" x14ac:dyDescent="0.25">
      <c r="A101" s="164"/>
      <c r="B101" s="165">
        <f>DATE(23,10,1)</f>
        <v>8675</v>
      </c>
      <c r="C101" s="226">
        <v>5353656.5</v>
      </c>
      <c r="D101" s="226">
        <v>233641.67</v>
      </c>
      <c r="E101" s="226">
        <v>197241.83</v>
      </c>
      <c r="F101" s="166">
        <f>+(D101-E101)/E101</f>
        <v>0.18454422167954956</v>
      </c>
      <c r="G101" s="241">
        <f>+D101/C101</f>
        <v>4.3641513048138222E-2</v>
      </c>
      <c r="H101" s="289">
        <f>1-G101</f>
        <v>0.95635848695186176</v>
      </c>
    </row>
    <row r="102" spans="1:8" ht="15.75" x14ac:dyDescent="0.25">
      <c r="A102" s="164"/>
      <c r="B102" s="165">
        <f>DATE(23,11,1)</f>
        <v>8706</v>
      </c>
      <c r="C102" s="226">
        <v>945680</v>
      </c>
      <c r="D102" s="226">
        <v>43064.43</v>
      </c>
      <c r="E102" s="226">
        <v>191836.78</v>
      </c>
      <c r="F102" s="166">
        <f>+(D102-E102)/E102</f>
        <v>-0.77551525833575818</v>
      </c>
      <c r="G102" s="241">
        <f>+D102/C102</f>
        <v>4.5538057270958464E-2</v>
      </c>
      <c r="H102" s="289">
        <f>1-G102</f>
        <v>0.9544619427290415</v>
      </c>
    </row>
    <row r="103" spans="1:8" ht="15.75" thickBot="1" x14ac:dyDescent="0.25">
      <c r="A103" s="167"/>
      <c r="B103" s="168"/>
      <c r="C103" s="226"/>
      <c r="D103" s="226"/>
      <c r="E103" s="226"/>
      <c r="F103" s="166"/>
      <c r="G103" s="241"/>
      <c r="H103" s="242"/>
    </row>
    <row r="104" spans="1:8" ht="17.25" thickTop="1" thickBot="1" x14ac:dyDescent="0.3">
      <c r="A104" s="174" t="s">
        <v>14</v>
      </c>
      <c r="B104" s="175"/>
      <c r="C104" s="228">
        <f>SUM(C98:C103)</f>
        <v>19682388</v>
      </c>
      <c r="D104" s="228">
        <f>SUM(D98:D103)</f>
        <v>877506.08000000007</v>
      </c>
      <c r="E104" s="228">
        <f>SUM(E98:E103)</f>
        <v>1040579.2999999999</v>
      </c>
      <c r="F104" s="176">
        <f>+(D104-E104)/E104</f>
        <v>-0.15671388043179396</v>
      </c>
      <c r="G104" s="245">
        <f>+D104/C104</f>
        <v>4.4583313772698724E-2</v>
      </c>
      <c r="H104" s="246">
        <f>1-G104</f>
        <v>0.95541668622730125</v>
      </c>
    </row>
    <row r="105" spans="1:8" ht="15.75" thickTop="1" x14ac:dyDescent="0.2">
      <c r="A105" s="167"/>
      <c r="B105" s="168"/>
      <c r="C105" s="226"/>
      <c r="D105" s="226"/>
      <c r="E105" s="226"/>
      <c r="F105" s="166"/>
      <c r="G105" s="241"/>
      <c r="H105" s="242"/>
    </row>
    <row r="106" spans="1:8" ht="15.75" x14ac:dyDescent="0.25">
      <c r="A106" s="164" t="s">
        <v>57</v>
      </c>
      <c r="B106" s="165">
        <f>DATE(23,7,1)</f>
        <v>8583</v>
      </c>
      <c r="C106" s="226">
        <v>0</v>
      </c>
      <c r="D106" s="226">
        <v>0</v>
      </c>
      <c r="E106" s="226">
        <v>0</v>
      </c>
      <c r="F106" s="166">
        <v>0</v>
      </c>
      <c r="G106" s="241">
        <v>0</v>
      </c>
      <c r="H106" s="242">
        <v>0</v>
      </c>
    </row>
    <row r="107" spans="1:8" ht="15.75" x14ac:dyDescent="0.25">
      <c r="A107" s="164"/>
      <c r="B107" s="165">
        <f>DATE(23,8,1)</f>
        <v>8614</v>
      </c>
      <c r="C107" s="226">
        <v>0</v>
      </c>
      <c r="D107" s="226">
        <v>0</v>
      </c>
      <c r="E107" s="226">
        <v>0</v>
      </c>
      <c r="F107" s="166">
        <v>0</v>
      </c>
      <c r="G107" s="241">
        <v>0</v>
      </c>
      <c r="H107" s="242">
        <v>0</v>
      </c>
    </row>
    <row r="108" spans="1:8" ht="15.75" x14ac:dyDescent="0.25">
      <c r="A108" s="164"/>
      <c r="B108" s="165">
        <f>DATE(23,9,1)</f>
        <v>8645</v>
      </c>
      <c r="C108" s="226">
        <v>0</v>
      </c>
      <c r="D108" s="226">
        <v>0</v>
      </c>
      <c r="E108" s="226">
        <v>0</v>
      </c>
      <c r="F108" s="166">
        <v>0</v>
      </c>
      <c r="G108" s="241">
        <v>0</v>
      </c>
      <c r="H108" s="242">
        <v>0</v>
      </c>
    </row>
    <row r="109" spans="1:8" ht="15.75" x14ac:dyDescent="0.25">
      <c r="A109" s="164"/>
      <c r="B109" s="165">
        <f>DATE(23,10,1)</f>
        <v>8675</v>
      </c>
      <c r="C109" s="226">
        <v>0</v>
      </c>
      <c r="D109" s="226">
        <v>0</v>
      </c>
      <c r="E109" s="226">
        <v>0</v>
      </c>
      <c r="F109" s="166">
        <v>0</v>
      </c>
      <c r="G109" s="241">
        <v>0</v>
      </c>
      <c r="H109" s="242">
        <v>0</v>
      </c>
    </row>
    <row r="110" spans="1:8" ht="15.75" x14ac:dyDescent="0.25">
      <c r="A110" s="164"/>
      <c r="B110" s="165">
        <f>DATE(23,11,1)</f>
        <v>8706</v>
      </c>
      <c r="C110" s="226">
        <v>0</v>
      </c>
      <c r="D110" s="226">
        <v>0</v>
      </c>
      <c r="E110" s="226">
        <v>0</v>
      </c>
      <c r="F110" s="166">
        <v>0</v>
      </c>
      <c r="G110" s="241">
        <v>0</v>
      </c>
      <c r="H110" s="242">
        <v>0</v>
      </c>
    </row>
    <row r="111" spans="1:8" ht="15.75" thickBot="1" x14ac:dyDescent="0.25">
      <c r="A111" s="167"/>
      <c r="B111" s="168"/>
      <c r="C111" s="226"/>
      <c r="D111" s="226"/>
      <c r="E111" s="226"/>
      <c r="F111" s="166"/>
      <c r="G111" s="241"/>
      <c r="H111" s="242"/>
    </row>
    <row r="112" spans="1:8" ht="17.25" thickTop="1" thickBot="1" x14ac:dyDescent="0.3">
      <c r="A112" s="169" t="s">
        <v>14</v>
      </c>
      <c r="B112" s="155"/>
      <c r="C112" s="223">
        <f>SUM(C106:C111)</f>
        <v>0</v>
      </c>
      <c r="D112" s="223">
        <f>SUM(D106:D111)</f>
        <v>0</v>
      </c>
      <c r="E112" s="223">
        <f>SUM(E106:E111)</f>
        <v>0</v>
      </c>
      <c r="F112" s="176">
        <v>0</v>
      </c>
      <c r="G112" s="245">
        <v>0</v>
      </c>
      <c r="H112" s="246">
        <v>0</v>
      </c>
    </row>
    <row r="113" spans="1:8" ht="16.5" thickTop="1" thickBot="1" x14ac:dyDescent="0.25">
      <c r="A113" s="171"/>
      <c r="B113" s="172"/>
      <c r="C113" s="227"/>
      <c r="D113" s="227"/>
      <c r="E113" s="227"/>
      <c r="F113" s="173"/>
      <c r="G113" s="243"/>
      <c r="H113" s="244"/>
    </row>
    <row r="114" spans="1:8" ht="17.25" thickTop="1" thickBot="1" x14ac:dyDescent="0.3">
      <c r="A114" s="184" t="s">
        <v>38</v>
      </c>
      <c r="B114" s="155"/>
      <c r="C114" s="223">
        <f>C112+C104+C80+C64+C48+C32+C16+C40+C96+C24+C72+C88+C56</f>
        <v>19682388</v>
      </c>
      <c r="D114" s="223">
        <f>D112+D104+D80+D64+D48+D32+D16+D40+D96+D24+D72+D88+D56</f>
        <v>877506.08000000007</v>
      </c>
      <c r="E114" s="223">
        <f>E112+E104+E80+E64+E48+E32+E16+E40+E96+E24+E72+E88+E56</f>
        <v>2238268.6999999997</v>
      </c>
      <c r="F114" s="176">
        <f>+(D114-E114)/E114</f>
        <v>-0.60795320061438551</v>
      </c>
      <c r="G114" s="236">
        <f>D114/C114</f>
        <v>4.4583313772698724E-2</v>
      </c>
      <c r="H114" s="237">
        <f>1-G114</f>
        <v>0.95541668622730125</v>
      </c>
    </row>
    <row r="115" spans="1:8" ht="17.25" thickTop="1" thickBot="1" x14ac:dyDescent="0.3">
      <c r="A115" s="184"/>
      <c r="B115" s="155"/>
      <c r="C115" s="223"/>
      <c r="D115" s="223"/>
      <c r="E115" s="223"/>
      <c r="F115" s="170"/>
      <c r="G115" s="236"/>
      <c r="H115" s="237"/>
    </row>
    <row r="116" spans="1:8" ht="17.25" thickTop="1" thickBot="1" x14ac:dyDescent="0.3">
      <c r="A116" s="184" t="s">
        <v>39</v>
      </c>
      <c r="B116" s="155"/>
      <c r="C116" s="223">
        <f>+C14+C22+C30+C38+C46+C54+C62+C70+C78+C86+C94+C102+C110</f>
        <v>945680</v>
      </c>
      <c r="D116" s="223">
        <f>+D14+D22+D30+D38+D46+D54+D62+D70+D78+D86+D94+D102+D110</f>
        <v>43064.43</v>
      </c>
      <c r="E116" s="223">
        <f>+E14+E22+E30+E38+E46+E54+E62+E70+E78+E86+E94+E102+E110</f>
        <v>407972.57999999996</v>
      </c>
      <c r="F116" s="176">
        <f>+(D116-E116)/E116</f>
        <v>-0.8944428324080016</v>
      </c>
      <c r="G116" s="236">
        <f>D116/C116</f>
        <v>4.5538057270958464E-2</v>
      </c>
      <c r="H116" s="246">
        <f>1-G116</f>
        <v>0.9544619427290415</v>
      </c>
    </row>
    <row r="117" spans="1:8" ht="16.5" thickTop="1" x14ac:dyDescent="0.25">
      <c r="A117" s="185"/>
      <c r="B117" s="186"/>
      <c r="C117" s="231"/>
      <c r="D117" s="231"/>
      <c r="E117" s="231"/>
      <c r="F117" s="187"/>
      <c r="G117" s="250"/>
      <c r="H117" s="250"/>
    </row>
    <row r="118" spans="1:8" ht="18.75" x14ac:dyDescent="0.3">
      <c r="A118" s="188" t="s">
        <v>49</v>
      </c>
      <c r="B118" s="189"/>
      <c r="C118" s="232"/>
      <c r="D118" s="232"/>
      <c r="E118" s="232"/>
      <c r="F118" s="190"/>
      <c r="G118" s="251"/>
      <c r="H118" s="251"/>
    </row>
    <row r="119" spans="1:8" ht="15.75" x14ac:dyDescent="0.25">
      <c r="A119" s="191"/>
      <c r="B119" s="189"/>
      <c r="C119" s="232"/>
      <c r="D119" s="232"/>
      <c r="E119" s="232"/>
      <c r="F119" s="190"/>
      <c r="G119" s="257"/>
      <c r="H119" s="257"/>
    </row>
  </sheetData>
  <printOptions horizontalCentered="1"/>
  <pageMargins left="0.7" right="0.45" top="0.25" bottom="0.25" header="0.3" footer="0.3"/>
  <pageSetup scale="56" orientation="landscape" r:id="rId1"/>
  <rowBreaks count="1" manualBreakCount="1">
    <brk id="6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20"/>
  <sheetViews>
    <sheetView showOutlineSymbols="0" zoomScaleNormal="100" workbookViewId="0">
      <selection activeCell="B10" sqref="B10"/>
    </sheetView>
  </sheetViews>
  <sheetFormatPr defaultColWidth="9.6640625" defaultRowHeight="15" x14ac:dyDescent="0.2"/>
  <cols>
    <col min="1" max="1" width="27.6640625" style="152" customWidth="1"/>
    <col min="2" max="2" width="9.6640625" style="152" customWidth="1"/>
    <col min="3" max="3" width="18.33203125" style="233" customWidth="1"/>
    <col min="4" max="4" width="16.44140625" style="233" customWidth="1"/>
    <col min="5" max="5" width="15.5546875" style="233" customWidth="1"/>
    <col min="6" max="6" width="9.6640625" style="152" customWidth="1"/>
    <col min="7" max="7" width="9.6640625" style="252" customWidth="1"/>
    <col min="8" max="8" width="10.88671875" style="252" customWidth="1"/>
    <col min="9" max="9" width="1.6640625" style="152" customWidth="1"/>
    <col min="10" max="16384" width="9.6640625" style="152"/>
  </cols>
  <sheetData>
    <row r="1" spans="1:9" ht="18" x14ac:dyDescent="0.25">
      <c r="A1" s="149" t="s">
        <v>0</v>
      </c>
      <c r="B1" s="150"/>
      <c r="C1" s="222"/>
      <c r="D1" s="222"/>
      <c r="E1" s="222"/>
      <c r="F1" s="150"/>
      <c r="G1" s="234"/>
      <c r="H1" s="234"/>
      <c r="I1" s="151"/>
    </row>
    <row r="2" spans="1:9" ht="18.75" x14ac:dyDescent="0.3">
      <c r="A2" s="153" t="s">
        <v>41</v>
      </c>
      <c r="B2" s="150"/>
      <c r="C2" s="222"/>
      <c r="D2" s="222"/>
      <c r="E2" s="222"/>
      <c r="F2" s="150"/>
      <c r="G2" s="234"/>
      <c r="H2" s="234"/>
      <c r="I2" s="151"/>
    </row>
    <row r="3" spans="1:9" ht="18" x14ac:dyDescent="0.25">
      <c r="A3" s="149" t="s">
        <v>42</v>
      </c>
      <c r="B3" s="150"/>
      <c r="C3" s="222"/>
      <c r="D3" s="222"/>
      <c r="E3" s="222"/>
      <c r="F3" s="150"/>
      <c r="G3" s="234"/>
      <c r="H3" s="234"/>
      <c r="I3" s="151"/>
    </row>
    <row r="4" spans="1:9" ht="18" x14ac:dyDescent="0.25">
      <c r="A4" s="285" t="s">
        <v>76</v>
      </c>
      <c r="B4" s="150"/>
      <c r="C4" s="222"/>
      <c r="D4" s="222"/>
      <c r="E4" s="222"/>
      <c r="F4" s="150"/>
      <c r="G4" s="234"/>
      <c r="H4" s="234"/>
      <c r="I4" s="151"/>
    </row>
    <row r="5" spans="1:9" x14ac:dyDescent="0.2">
      <c r="A5" s="286" t="s">
        <v>79</v>
      </c>
      <c r="B5" s="150"/>
      <c r="C5" s="222"/>
      <c r="D5" s="222"/>
      <c r="E5" s="222"/>
      <c r="F5" s="150"/>
      <c r="G5" s="234"/>
      <c r="H5" s="234"/>
      <c r="I5" s="151"/>
    </row>
    <row r="6" spans="1:9" ht="16.5" thickBot="1" x14ac:dyDescent="0.3">
      <c r="A6" s="150"/>
      <c r="B6" s="150"/>
      <c r="C6" s="222"/>
      <c r="D6" s="222"/>
      <c r="E6" s="222"/>
      <c r="F6" s="150"/>
      <c r="G6" s="235" t="s">
        <v>43</v>
      </c>
      <c r="H6" s="235"/>
      <c r="I6" s="151"/>
    </row>
    <row r="7" spans="1:9" ht="16.5" thickTop="1" x14ac:dyDescent="0.25">
      <c r="A7" s="154"/>
      <c r="B7" s="155" t="s">
        <v>2</v>
      </c>
      <c r="C7" s="223" t="s">
        <v>44</v>
      </c>
      <c r="D7" s="223" t="s">
        <v>31</v>
      </c>
      <c r="E7" s="223" t="s">
        <v>3</v>
      </c>
      <c r="F7" s="156"/>
      <c r="G7" s="236" t="s">
        <v>32</v>
      </c>
      <c r="H7" s="253" t="s">
        <v>32</v>
      </c>
      <c r="I7" s="157"/>
    </row>
    <row r="8" spans="1:9" ht="16.5" thickBot="1" x14ac:dyDescent="0.3">
      <c r="A8" s="158" t="s">
        <v>5</v>
      </c>
      <c r="B8" s="159" t="s">
        <v>6</v>
      </c>
      <c r="C8" s="224" t="s">
        <v>45</v>
      </c>
      <c r="D8" s="224" t="s">
        <v>46</v>
      </c>
      <c r="E8" s="224" t="s">
        <v>46</v>
      </c>
      <c r="F8" s="160" t="s">
        <v>8</v>
      </c>
      <c r="G8" s="238" t="s">
        <v>35</v>
      </c>
      <c r="H8" s="254" t="s">
        <v>47</v>
      </c>
      <c r="I8" s="157"/>
    </row>
    <row r="9" spans="1:9" ht="15.75" customHeight="1" thickTop="1" x14ac:dyDescent="0.25">
      <c r="A9" s="161"/>
      <c r="B9" s="162"/>
      <c r="C9" s="225"/>
      <c r="D9" s="225"/>
      <c r="E9" s="225"/>
      <c r="F9" s="163"/>
      <c r="G9" s="239"/>
      <c r="H9" s="240"/>
      <c r="I9" s="157"/>
    </row>
    <row r="10" spans="1:9" ht="15.75" x14ac:dyDescent="0.25">
      <c r="A10" s="164" t="s">
        <v>36</v>
      </c>
      <c r="B10" s="165">
        <f>DATE(23,7,1)</f>
        <v>8583</v>
      </c>
      <c r="C10" s="226">
        <v>130294533.33</v>
      </c>
      <c r="D10" s="226">
        <v>12225071.779999999</v>
      </c>
      <c r="E10" s="226">
        <v>12857023.68</v>
      </c>
      <c r="F10" s="166">
        <f>(+D10-E10)/E10</f>
        <v>-4.915227005321969E-2</v>
      </c>
      <c r="G10" s="241">
        <f>D10/C10</f>
        <v>9.3826436670503097E-2</v>
      </c>
      <c r="H10" s="242">
        <f>1-G10</f>
        <v>0.90617356332949694</v>
      </c>
      <c r="I10" s="157"/>
    </row>
    <row r="11" spans="1:9" ht="15.75" x14ac:dyDescent="0.25">
      <c r="A11" s="164"/>
      <c r="B11" s="165">
        <f>DATE(23,8,1)</f>
        <v>8614</v>
      </c>
      <c r="C11" s="226">
        <v>121966832.73999999</v>
      </c>
      <c r="D11" s="226">
        <v>11145204.02</v>
      </c>
      <c r="E11" s="226">
        <v>11827521.810000001</v>
      </c>
      <c r="F11" s="166">
        <f>(+D11-E11)/E11</f>
        <v>-5.7688990217977111E-2</v>
      </c>
      <c r="G11" s="241">
        <f>D11/C11</f>
        <v>9.1378973853970064E-2</v>
      </c>
      <c r="H11" s="242">
        <f>1-G11</f>
        <v>0.90862102614602991</v>
      </c>
      <c r="I11" s="157"/>
    </row>
    <row r="12" spans="1:9" ht="15.75" x14ac:dyDescent="0.25">
      <c r="A12" s="164"/>
      <c r="B12" s="165">
        <f>DATE(23,9,1)</f>
        <v>8645</v>
      </c>
      <c r="C12" s="226">
        <v>119569753.25</v>
      </c>
      <c r="D12" s="226">
        <v>10888864.68</v>
      </c>
      <c r="E12" s="226">
        <v>11779242.130000001</v>
      </c>
      <c r="F12" s="166">
        <f>(+D12-E12)/E12</f>
        <v>-7.5588687300377363E-2</v>
      </c>
      <c r="G12" s="241">
        <f>D12/C12</f>
        <v>9.1067049851923987E-2</v>
      </c>
      <c r="H12" s="242">
        <f>1-G12</f>
        <v>0.90893295014807607</v>
      </c>
      <c r="I12" s="157"/>
    </row>
    <row r="13" spans="1:9" ht="15.75" x14ac:dyDescent="0.25">
      <c r="A13" s="164"/>
      <c r="B13" s="165">
        <f>DATE(23,10,1)</f>
        <v>8675</v>
      </c>
      <c r="C13" s="226">
        <v>113617241.08</v>
      </c>
      <c r="D13" s="226">
        <v>10286786.27</v>
      </c>
      <c r="E13" s="226">
        <v>11839133.27</v>
      </c>
      <c r="F13" s="166">
        <f>(+D13-E13)/E13</f>
        <v>-0.1311199869616807</v>
      </c>
      <c r="G13" s="241">
        <f>D13/C13</f>
        <v>9.0538954935165894E-2</v>
      </c>
      <c r="H13" s="242">
        <f>1-G13</f>
        <v>0.90946104506483416</v>
      </c>
      <c r="I13" s="157"/>
    </row>
    <row r="14" spans="1:9" ht="15.75" x14ac:dyDescent="0.25">
      <c r="A14" s="164"/>
      <c r="B14" s="165">
        <f>DATE(23,11,1)</f>
        <v>8706</v>
      </c>
      <c r="C14" s="226">
        <v>111981421.75</v>
      </c>
      <c r="D14" s="226">
        <v>10696499.550000001</v>
      </c>
      <c r="E14" s="226">
        <v>10518258.619999999</v>
      </c>
      <c r="F14" s="166">
        <f>(+D14-E14)/E14</f>
        <v>1.6945859237676889E-2</v>
      </c>
      <c r="G14" s="241">
        <f>D14/C14</f>
        <v>9.552030491164934E-2</v>
      </c>
      <c r="H14" s="242">
        <f>1-G14</f>
        <v>0.90447969508835069</v>
      </c>
      <c r="I14" s="157"/>
    </row>
    <row r="15" spans="1:9" ht="15.75" thickBot="1" x14ac:dyDescent="0.25">
      <c r="A15" s="167"/>
      <c r="B15" s="168"/>
      <c r="C15" s="226"/>
      <c r="D15" s="226"/>
      <c r="E15" s="226"/>
      <c r="F15" s="166"/>
      <c r="G15" s="241"/>
      <c r="H15" s="242"/>
      <c r="I15" s="157"/>
    </row>
    <row r="16" spans="1:9" ht="17.25" thickTop="1" thickBot="1" x14ac:dyDescent="0.3">
      <c r="A16" s="169" t="s">
        <v>14</v>
      </c>
      <c r="B16" s="155"/>
      <c r="C16" s="223">
        <f>SUM(C10:C15)</f>
        <v>597429782.14999998</v>
      </c>
      <c r="D16" s="223">
        <f>SUM(D10:D15)</f>
        <v>55242426.299999997</v>
      </c>
      <c r="E16" s="223">
        <f>SUM(E10:E15)</f>
        <v>58821179.509999998</v>
      </c>
      <c r="F16" s="170">
        <f>(+D16-E16)/E16</f>
        <v>-6.0841235075736431E-2</v>
      </c>
      <c r="G16" s="236">
        <f>D16/C16</f>
        <v>9.2466810243701542E-2</v>
      </c>
      <c r="H16" s="237">
        <f>1-G16</f>
        <v>0.90753318975629849</v>
      </c>
      <c r="I16" s="157"/>
    </row>
    <row r="17" spans="1:9" ht="15.75" thickTop="1" x14ac:dyDescent="0.2">
      <c r="A17" s="171"/>
      <c r="B17" s="172"/>
      <c r="C17" s="227"/>
      <c r="D17" s="227"/>
      <c r="E17" s="227"/>
      <c r="F17" s="173"/>
      <c r="G17" s="243"/>
      <c r="H17" s="244"/>
      <c r="I17" s="157"/>
    </row>
    <row r="18" spans="1:9" ht="15.75" x14ac:dyDescent="0.25">
      <c r="A18" s="19" t="s">
        <v>48</v>
      </c>
      <c r="B18" s="165">
        <f>DATE(23,7,1)</f>
        <v>8583</v>
      </c>
      <c r="C18" s="226">
        <v>75800127.310000002</v>
      </c>
      <c r="D18" s="226">
        <v>7575374.3200000003</v>
      </c>
      <c r="E18" s="226">
        <v>7757914.71</v>
      </c>
      <c r="F18" s="166">
        <f>(+D18-E18)/E18</f>
        <v>-2.3529569068954054E-2</v>
      </c>
      <c r="G18" s="241">
        <f>D18/C18</f>
        <v>9.993880734552027E-2</v>
      </c>
      <c r="H18" s="242">
        <f>1-G18</f>
        <v>0.9000611926544797</v>
      </c>
      <c r="I18" s="157"/>
    </row>
    <row r="19" spans="1:9" ht="15.75" x14ac:dyDescent="0.25">
      <c r="A19" s="19"/>
      <c r="B19" s="165">
        <f>DATE(23,8,1)</f>
        <v>8614</v>
      </c>
      <c r="C19" s="226">
        <v>70452827.459999993</v>
      </c>
      <c r="D19" s="226">
        <v>7089689.0300000003</v>
      </c>
      <c r="E19" s="226">
        <v>6870200.0300000003</v>
      </c>
      <c r="F19" s="166">
        <f>(+D19-E19)/E19</f>
        <v>3.1947978085290187E-2</v>
      </c>
      <c r="G19" s="241">
        <f>D19/C19</f>
        <v>0.1006302981101108</v>
      </c>
      <c r="H19" s="242">
        <f>1-G19</f>
        <v>0.89936970188988918</v>
      </c>
      <c r="I19" s="157"/>
    </row>
    <row r="20" spans="1:9" ht="15.75" x14ac:dyDescent="0.25">
      <c r="A20" s="19"/>
      <c r="B20" s="165">
        <f>DATE(23,9,1)</f>
        <v>8645</v>
      </c>
      <c r="C20" s="226">
        <v>66505879.869999997</v>
      </c>
      <c r="D20" s="226">
        <v>6608716.9299999997</v>
      </c>
      <c r="E20" s="226">
        <v>7013550.54</v>
      </c>
      <c r="F20" s="166">
        <f>(+D20-E20)/E20</f>
        <v>-5.7721635809300141E-2</v>
      </c>
      <c r="G20" s="241">
        <f>D20/C20</f>
        <v>9.9370415712387444E-2</v>
      </c>
      <c r="H20" s="242">
        <f>1-G20</f>
        <v>0.90062958428761253</v>
      </c>
      <c r="I20" s="157"/>
    </row>
    <row r="21" spans="1:9" ht="15.75" x14ac:dyDescent="0.25">
      <c r="A21" s="19"/>
      <c r="B21" s="165">
        <f>DATE(23,10,1)</f>
        <v>8675</v>
      </c>
      <c r="C21" s="226">
        <v>63554221.140000001</v>
      </c>
      <c r="D21" s="226">
        <v>6073572.6299999999</v>
      </c>
      <c r="E21" s="226">
        <v>6793373.3399999999</v>
      </c>
      <c r="F21" s="166">
        <f>(+D21-E21)/E21</f>
        <v>-0.10595630093840831</v>
      </c>
      <c r="G21" s="241">
        <f>D21/C21</f>
        <v>9.5565212208656769E-2</v>
      </c>
      <c r="H21" s="242">
        <f>1-G21</f>
        <v>0.90443478779134323</v>
      </c>
      <c r="I21" s="157"/>
    </row>
    <row r="22" spans="1:9" ht="15.75" x14ac:dyDescent="0.25">
      <c r="A22" s="19"/>
      <c r="B22" s="165">
        <f>DATE(23,11,1)</f>
        <v>8706</v>
      </c>
      <c r="C22" s="226">
        <v>62962072.119999997</v>
      </c>
      <c r="D22" s="226">
        <v>6219601.8899999997</v>
      </c>
      <c r="E22" s="226">
        <v>6317939.5599999996</v>
      </c>
      <c r="F22" s="166">
        <f>(+D22-E22)/E22</f>
        <v>-1.5564832342270766E-2</v>
      </c>
      <c r="G22" s="241">
        <f>D22/C22</f>
        <v>9.8783310024263535E-2</v>
      </c>
      <c r="H22" s="242">
        <f>1-G22</f>
        <v>0.90121668997573645</v>
      </c>
      <c r="I22" s="157"/>
    </row>
    <row r="23" spans="1:9" ht="15.75" thickBot="1" x14ac:dyDescent="0.25">
      <c r="A23" s="167"/>
      <c r="B23" s="165"/>
      <c r="C23" s="226"/>
      <c r="D23" s="226"/>
      <c r="E23" s="226"/>
      <c r="F23" s="166"/>
      <c r="G23" s="241"/>
      <c r="H23" s="242"/>
      <c r="I23" s="157"/>
    </row>
    <row r="24" spans="1:9" ht="17.25" thickTop="1" thickBot="1" x14ac:dyDescent="0.3">
      <c r="A24" s="169" t="s">
        <v>14</v>
      </c>
      <c r="B24" s="155"/>
      <c r="C24" s="223">
        <f>SUM(C18:C23)</f>
        <v>339275127.89999998</v>
      </c>
      <c r="D24" s="223">
        <f>SUM(D18:D23)</f>
        <v>33566954.799999997</v>
      </c>
      <c r="E24" s="223">
        <f>SUM(E18:E23)</f>
        <v>34752978.18</v>
      </c>
      <c r="F24" s="170">
        <f>(+D24-E24)/E24</f>
        <v>-3.4127244400669741E-2</v>
      </c>
      <c r="G24" s="236">
        <f>D24/C24</f>
        <v>9.8937269607024439E-2</v>
      </c>
      <c r="H24" s="237">
        <f>1-G24</f>
        <v>0.90106273039297557</v>
      </c>
      <c r="I24" s="157"/>
    </row>
    <row r="25" spans="1:9" ht="15.75" thickTop="1" x14ac:dyDescent="0.2">
      <c r="A25" s="171"/>
      <c r="B25" s="172"/>
      <c r="C25" s="227"/>
      <c r="D25" s="227"/>
      <c r="E25" s="227"/>
      <c r="F25" s="173"/>
      <c r="G25" s="243"/>
      <c r="H25" s="244"/>
      <c r="I25" s="157"/>
    </row>
    <row r="26" spans="1:9" ht="15.75" x14ac:dyDescent="0.25">
      <c r="A26" s="19" t="s">
        <v>62</v>
      </c>
      <c r="B26" s="165">
        <f>DATE(23,7,1)</f>
        <v>8583</v>
      </c>
      <c r="C26" s="226">
        <v>37126873.899999999</v>
      </c>
      <c r="D26" s="226">
        <v>3728602.99</v>
      </c>
      <c r="E26" s="226">
        <v>3537425.2</v>
      </c>
      <c r="F26" s="166">
        <f>(+D26-E26)/E26</f>
        <v>5.4044334280199065E-2</v>
      </c>
      <c r="G26" s="241">
        <f>D26/C26</f>
        <v>0.10042868139242933</v>
      </c>
      <c r="H26" s="242">
        <f>1-G26</f>
        <v>0.89957131860757067</v>
      </c>
      <c r="I26" s="157"/>
    </row>
    <row r="27" spans="1:9" ht="15.75" x14ac:dyDescent="0.25">
      <c r="A27" s="19"/>
      <c r="B27" s="165">
        <f>DATE(23,8,1)</f>
        <v>8614</v>
      </c>
      <c r="C27" s="226">
        <v>33173547.440000001</v>
      </c>
      <c r="D27" s="226">
        <v>3492885.71</v>
      </c>
      <c r="E27" s="226">
        <v>3224518.01</v>
      </c>
      <c r="F27" s="166">
        <f>(+D27-E27)/E27</f>
        <v>8.3227229361947402E-2</v>
      </c>
      <c r="G27" s="241">
        <f>D27/C27</f>
        <v>0.10529129320032708</v>
      </c>
      <c r="H27" s="242">
        <f>1-G27</f>
        <v>0.89470870679967296</v>
      </c>
      <c r="I27" s="157"/>
    </row>
    <row r="28" spans="1:9" ht="15.75" x14ac:dyDescent="0.25">
      <c r="A28" s="19"/>
      <c r="B28" s="165">
        <f>DATE(23,9,1)</f>
        <v>8645</v>
      </c>
      <c r="C28" s="226">
        <v>34343922.799999997</v>
      </c>
      <c r="D28" s="226">
        <v>3669671.06</v>
      </c>
      <c r="E28" s="226">
        <v>3285954.25</v>
      </c>
      <c r="F28" s="166">
        <f>(+D28-E28)/E28</f>
        <v>0.11677484858469958</v>
      </c>
      <c r="G28" s="241">
        <f>D28/C28</f>
        <v>0.10685066704144817</v>
      </c>
      <c r="H28" s="242">
        <f>1-G28</f>
        <v>0.89314933295855181</v>
      </c>
      <c r="I28" s="157"/>
    </row>
    <row r="29" spans="1:9" ht="15.75" x14ac:dyDescent="0.25">
      <c r="A29" s="19"/>
      <c r="B29" s="165">
        <f>DATE(23,10,1)</f>
        <v>8675</v>
      </c>
      <c r="C29" s="226">
        <v>31007658.719999999</v>
      </c>
      <c r="D29" s="226">
        <v>3409284.9</v>
      </c>
      <c r="E29" s="226">
        <v>3155435.74</v>
      </c>
      <c r="F29" s="166">
        <f>(+D29-E29)/E29</f>
        <v>8.0448210933935754E-2</v>
      </c>
      <c r="G29" s="241">
        <f>D29/C29</f>
        <v>0.10994976856479025</v>
      </c>
      <c r="H29" s="242">
        <f>1-G29</f>
        <v>0.89005023143520978</v>
      </c>
      <c r="I29" s="157"/>
    </row>
    <row r="30" spans="1:9" ht="15.75" x14ac:dyDescent="0.25">
      <c r="A30" s="19"/>
      <c r="B30" s="165">
        <f>DATE(23,11,1)</f>
        <v>8706</v>
      </c>
      <c r="C30" s="226">
        <v>31665455.82</v>
      </c>
      <c r="D30" s="226">
        <v>3279489.54</v>
      </c>
      <c r="E30" s="226">
        <v>2805588.39</v>
      </c>
      <c r="F30" s="166">
        <f>(+D30-E30)/E30</f>
        <v>0.16891328453209056</v>
      </c>
      <c r="G30" s="241">
        <f>D30/C30</f>
        <v>0.10356678768946267</v>
      </c>
      <c r="H30" s="242">
        <f>1-G30</f>
        <v>0.8964332123105373</v>
      </c>
      <c r="I30" s="157"/>
    </row>
    <row r="31" spans="1:9" ht="15.75" thickBot="1" x14ac:dyDescent="0.25">
      <c r="A31" s="167"/>
      <c r="B31" s="165"/>
      <c r="C31" s="226"/>
      <c r="D31" s="226"/>
      <c r="E31" s="226"/>
      <c r="F31" s="166"/>
      <c r="G31" s="241"/>
      <c r="H31" s="242"/>
      <c r="I31" s="157"/>
    </row>
    <row r="32" spans="1:9" ht="17.25" thickTop="1" thickBot="1" x14ac:dyDescent="0.3">
      <c r="A32" s="174" t="s">
        <v>14</v>
      </c>
      <c r="B32" s="175"/>
      <c r="C32" s="228">
        <f>SUM(C26:C31)</f>
        <v>167317458.68000001</v>
      </c>
      <c r="D32" s="228">
        <f>SUM(D26:D31)</f>
        <v>17579934.199999999</v>
      </c>
      <c r="E32" s="228">
        <f>SUM(E26:E31)</f>
        <v>16008921.590000002</v>
      </c>
      <c r="F32" s="176">
        <f>(+D32-E32)/E32</f>
        <v>9.8133568908310043E-2</v>
      </c>
      <c r="G32" s="245">
        <f>D32/C32</f>
        <v>0.1050693354936868</v>
      </c>
      <c r="H32" s="246">
        <f>1-G32</f>
        <v>0.8949306645063132</v>
      </c>
      <c r="I32" s="157"/>
    </row>
    <row r="33" spans="1:9" ht="15.75" thickTop="1" x14ac:dyDescent="0.2">
      <c r="A33" s="167"/>
      <c r="B33" s="168"/>
      <c r="C33" s="226"/>
      <c r="D33" s="226"/>
      <c r="E33" s="226"/>
      <c r="F33" s="166"/>
      <c r="G33" s="241"/>
      <c r="H33" s="242"/>
      <c r="I33" s="157"/>
    </row>
    <row r="34" spans="1:9" ht="15.75" x14ac:dyDescent="0.25">
      <c r="A34" s="177" t="s">
        <v>58</v>
      </c>
      <c r="B34" s="165">
        <f>DATE(23,7,1)</f>
        <v>8583</v>
      </c>
      <c r="C34" s="226">
        <v>203652069.36000001</v>
      </c>
      <c r="D34" s="226">
        <v>18456668.579999998</v>
      </c>
      <c r="E34" s="226">
        <v>17880290.199999999</v>
      </c>
      <c r="F34" s="166">
        <f>(+D34-E34)/E34</f>
        <v>3.2235404098754444E-2</v>
      </c>
      <c r="G34" s="241">
        <f>D34/C34</f>
        <v>9.0628436224597153E-2</v>
      </c>
      <c r="H34" s="242">
        <f>1-G34</f>
        <v>0.90937156377540285</v>
      </c>
      <c r="I34" s="157"/>
    </row>
    <row r="35" spans="1:9" ht="15.75" x14ac:dyDescent="0.25">
      <c r="A35" s="177"/>
      <c r="B35" s="165">
        <f>DATE(23,8,1)</f>
        <v>8614</v>
      </c>
      <c r="C35" s="226">
        <v>191968973.33000001</v>
      </c>
      <c r="D35" s="226">
        <v>17397451.300000001</v>
      </c>
      <c r="E35" s="226">
        <v>17060867.379999999</v>
      </c>
      <c r="F35" s="166">
        <f>(+D35-E35)/E35</f>
        <v>1.9728417817406526E-2</v>
      </c>
      <c r="G35" s="241">
        <f>D35/C35</f>
        <v>9.0626370492138314E-2</v>
      </c>
      <c r="H35" s="242">
        <f>1-G35</f>
        <v>0.90937362950786171</v>
      </c>
      <c r="I35" s="157"/>
    </row>
    <row r="36" spans="1:9" ht="15.75" x14ac:dyDescent="0.25">
      <c r="A36" s="177"/>
      <c r="B36" s="165">
        <f>DATE(23,9,1)</f>
        <v>8645</v>
      </c>
      <c r="C36" s="226">
        <v>188961524.24000001</v>
      </c>
      <c r="D36" s="226">
        <v>17402399.579999998</v>
      </c>
      <c r="E36" s="226">
        <v>17061917.539999999</v>
      </c>
      <c r="F36" s="166">
        <f>(+D36-E36)/E36</f>
        <v>1.9955672579109133E-2</v>
      </c>
      <c r="G36" s="241">
        <f>D36/C36</f>
        <v>9.2094936522089083E-2</v>
      </c>
      <c r="H36" s="242">
        <f>1-G36</f>
        <v>0.90790506347791089</v>
      </c>
      <c r="I36" s="157"/>
    </row>
    <row r="37" spans="1:9" ht="15.75" x14ac:dyDescent="0.25">
      <c r="A37" s="177"/>
      <c r="B37" s="165">
        <f>DATE(23,10,1)</f>
        <v>8675</v>
      </c>
      <c r="C37" s="226">
        <v>184357310.63</v>
      </c>
      <c r="D37" s="226">
        <v>16475993.380000001</v>
      </c>
      <c r="E37" s="226">
        <v>16341780.85</v>
      </c>
      <c r="F37" s="166">
        <f>(+D37-E37)/E37</f>
        <v>8.2128460314042934E-3</v>
      </c>
      <c r="G37" s="241">
        <f>D37/C37</f>
        <v>8.9369894384426454E-2</v>
      </c>
      <c r="H37" s="242">
        <f>1-G37</f>
        <v>0.91063010561557356</v>
      </c>
      <c r="I37" s="157"/>
    </row>
    <row r="38" spans="1:9" ht="15.75" x14ac:dyDescent="0.25">
      <c r="A38" s="177"/>
      <c r="B38" s="165">
        <f>DATE(23,11,1)</f>
        <v>8706</v>
      </c>
      <c r="C38" s="226">
        <v>183237380.37</v>
      </c>
      <c r="D38" s="226">
        <v>16419604.9</v>
      </c>
      <c r="E38" s="226">
        <v>14923708.42</v>
      </c>
      <c r="F38" s="166">
        <f>(+D38-E38)/E38</f>
        <v>0.10023624409568842</v>
      </c>
      <c r="G38" s="241">
        <f>D38/C38</f>
        <v>8.9608380488985923E-2</v>
      </c>
      <c r="H38" s="242">
        <f>1-G38</f>
        <v>0.91039161951101411</v>
      </c>
      <c r="I38" s="157"/>
    </row>
    <row r="39" spans="1:9" ht="15.75" thickBot="1" x14ac:dyDescent="0.25">
      <c r="A39" s="167"/>
      <c r="B39" s="168"/>
      <c r="C39" s="226"/>
      <c r="D39" s="226"/>
      <c r="E39" s="226"/>
      <c r="F39" s="166"/>
      <c r="G39" s="241"/>
      <c r="H39" s="242"/>
      <c r="I39" s="157"/>
    </row>
    <row r="40" spans="1:9" ht="17.25" thickTop="1" thickBot="1" x14ac:dyDescent="0.3">
      <c r="A40" s="174" t="s">
        <v>14</v>
      </c>
      <c r="B40" s="178"/>
      <c r="C40" s="228">
        <f>SUM(C34:C39)</f>
        <v>952177257.93000007</v>
      </c>
      <c r="D40" s="228">
        <f>SUM(D34:D39)</f>
        <v>86152117.739999995</v>
      </c>
      <c r="E40" s="228">
        <f>SUM(E34:E39)</f>
        <v>83268564.390000001</v>
      </c>
      <c r="F40" s="176">
        <f>(+D40-E40)/E40</f>
        <v>3.4629555236409114E-2</v>
      </c>
      <c r="G40" s="245">
        <f>D40/C40</f>
        <v>9.047907521682641E-2</v>
      </c>
      <c r="H40" s="246">
        <f>1-G40</f>
        <v>0.90952092478317359</v>
      </c>
      <c r="I40" s="157"/>
    </row>
    <row r="41" spans="1:9" ht="15.75" thickTop="1" x14ac:dyDescent="0.2">
      <c r="A41" s="167"/>
      <c r="B41" s="168"/>
      <c r="C41" s="226"/>
      <c r="D41" s="226"/>
      <c r="E41" s="226"/>
      <c r="F41" s="166"/>
      <c r="G41" s="241"/>
      <c r="H41" s="242"/>
      <c r="I41" s="157"/>
    </row>
    <row r="42" spans="1:9" ht="15.75" x14ac:dyDescent="0.25">
      <c r="A42" s="164" t="s">
        <v>60</v>
      </c>
      <c r="B42" s="165">
        <f>DATE(23,7,1)</f>
        <v>8583</v>
      </c>
      <c r="C42" s="226">
        <v>121881486.05</v>
      </c>
      <c r="D42" s="226">
        <v>12067335.59</v>
      </c>
      <c r="E42" s="226">
        <v>11877741.560000001</v>
      </c>
      <c r="F42" s="166">
        <f>(+D42-E42)/E42</f>
        <v>1.5962127904725964E-2</v>
      </c>
      <c r="G42" s="241">
        <f>D42/C42</f>
        <v>9.9008766475406795E-2</v>
      </c>
      <c r="H42" s="242">
        <f>1-G42</f>
        <v>0.9009912335245932</v>
      </c>
      <c r="I42" s="157"/>
    </row>
    <row r="43" spans="1:9" ht="15.75" x14ac:dyDescent="0.25">
      <c r="A43" s="164"/>
      <c r="B43" s="165">
        <f>DATE(23,8,1)</f>
        <v>8614</v>
      </c>
      <c r="C43" s="226">
        <v>115554383.93000001</v>
      </c>
      <c r="D43" s="226">
        <v>10973674.99</v>
      </c>
      <c r="E43" s="226">
        <v>11399779.33</v>
      </c>
      <c r="F43" s="166">
        <f>(+D43-E43)/E43</f>
        <v>-3.7378297216565493E-2</v>
      </c>
      <c r="G43" s="241">
        <f>D43/C43</f>
        <v>9.4965457966939462E-2</v>
      </c>
      <c r="H43" s="242">
        <f>1-G43</f>
        <v>0.90503454203306055</v>
      </c>
      <c r="I43" s="157"/>
    </row>
    <row r="44" spans="1:9" ht="15.75" x14ac:dyDescent="0.25">
      <c r="A44" s="164"/>
      <c r="B44" s="165">
        <f>DATE(23,9,1)</f>
        <v>8645</v>
      </c>
      <c r="C44" s="226">
        <v>112575369.23999999</v>
      </c>
      <c r="D44" s="226">
        <v>10801103.67</v>
      </c>
      <c r="E44" s="226">
        <v>10069352.810000001</v>
      </c>
      <c r="F44" s="166">
        <f>(+D44-E44)/E44</f>
        <v>7.2671091559458362E-2</v>
      </c>
      <c r="G44" s="241">
        <f>D44/C44</f>
        <v>9.5945531806101145E-2</v>
      </c>
      <c r="H44" s="242">
        <f>1-G44</f>
        <v>0.9040544681938989</v>
      </c>
      <c r="I44" s="157"/>
    </row>
    <row r="45" spans="1:9" ht="15.75" x14ac:dyDescent="0.25">
      <c r="A45" s="164"/>
      <c r="B45" s="165">
        <f>DATE(23,10,1)</f>
        <v>8675</v>
      </c>
      <c r="C45" s="226">
        <v>105123042.13</v>
      </c>
      <c r="D45" s="226">
        <v>10564246.92</v>
      </c>
      <c r="E45" s="226">
        <v>10695374.6</v>
      </c>
      <c r="F45" s="166">
        <f>(+D45-E45)/E45</f>
        <v>-1.2260223218362048E-2</v>
      </c>
      <c r="G45" s="241">
        <f>D45/C45</f>
        <v>0.10049411343077158</v>
      </c>
      <c r="H45" s="242">
        <f>1-G45</f>
        <v>0.89950588656922847</v>
      </c>
      <c r="I45" s="157"/>
    </row>
    <row r="46" spans="1:9" ht="15.75" x14ac:dyDescent="0.25">
      <c r="A46" s="164"/>
      <c r="B46" s="165">
        <f>DATE(23,11,1)</f>
        <v>8706</v>
      </c>
      <c r="C46" s="226">
        <v>100178994.58</v>
      </c>
      <c r="D46" s="226">
        <v>9910289.5700000003</v>
      </c>
      <c r="E46" s="226">
        <v>10611649.119999999</v>
      </c>
      <c r="F46" s="166">
        <f>(+D46-E46)/E46</f>
        <v>-6.6093360425773198E-2</v>
      </c>
      <c r="G46" s="241">
        <f>D46/C46</f>
        <v>9.8925823837111224E-2</v>
      </c>
      <c r="H46" s="242">
        <f>1-G46</f>
        <v>0.90107417616288876</v>
      </c>
      <c r="I46" s="157"/>
    </row>
    <row r="47" spans="1:9" ht="15.75" thickBot="1" x14ac:dyDescent="0.25">
      <c r="A47" s="167"/>
      <c r="B47" s="165"/>
      <c r="C47" s="226"/>
      <c r="D47" s="226"/>
      <c r="E47" s="226"/>
      <c r="F47" s="166"/>
      <c r="G47" s="241"/>
      <c r="H47" s="242"/>
      <c r="I47" s="157"/>
    </row>
    <row r="48" spans="1:9" ht="17.25" thickTop="1" thickBot="1" x14ac:dyDescent="0.3">
      <c r="A48" s="174" t="s">
        <v>14</v>
      </c>
      <c r="B48" s="175"/>
      <c r="C48" s="228">
        <f>SUM(C42:C47)</f>
        <v>555313275.93000007</v>
      </c>
      <c r="D48" s="230">
        <f>SUM(D42:D47)</f>
        <v>54316650.740000002</v>
      </c>
      <c r="E48" s="271">
        <f>SUM(E42:E47)</f>
        <v>54653897.420000002</v>
      </c>
      <c r="F48" s="272">
        <f>(+D48-E48)/E48</f>
        <v>-6.1705879346234498E-3</v>
      </c>
      <c r="G48" s="249">
        <f>D48/C48</f>
        <v>9.7812627744284078E-2</v>
      </c>
      <c r="H48" s="270">
        <f>1-G48</f>
        <v>0.90218737225571588</v>
      </c>
      <c r="I48" s="157"/>
    </row>
    <row r="49" spans="1:9" ht="15.75" thickTop="1" x14ac:dyDescent="0.2">
      <c r="A49" s="167"/>
      <c r="B49" s="168"/>
      <c r="C49" s="226"/>
      <c r="D49" s="226"/>
      <c r="E49" s="226"/>
      <c r="F49" s="166"/>
      <c r="G49" s="241"/>
      <c r="H49" s="242"/>
      <c r="I49" s="157"/>
    </row>
    <row r="50" spans="1:9" ht="15.75" x14ac:dyDescent="0.25">
      <c r="A50" s="164" t="s">
        <v>64</v>
      </c>
      <c r="B50" s="165">
        <f>DATE(23,7,1)</f>
        <v>8583</v>
      </c>
      <c r="C50" s="226">
        <v>53239780.990000002</v>
      </c>
      <c r="D50" s="226">
        <v>5575819.8300000001</v>
      </c>
      <c r="E50" s="226">
        <v>5559220.0999999996</v>
      </c>
      <c r="F50" s="166">
        <f>(+D50-E50)/E50</f>
        <v>2.9859817926619686E-3</v>
      </c>
      <c r="G50" s="241">
        <f>D50/C50</f>
        <v>0.10473032995848167</v>
      </c>
      <c r="H50" s="242">
        <f>1-G50</f>
        <v>0.89526967004151836</v>
      </c>
      <c r="I50" s="157"/>
    </row>
    <row r="51" spans="1:9" ht="15.75" x14ac:dyDescent="0.25">
      <c r="A51" s="164"/>
      <c r="B51" s="165">
        <f>DATE(23,8,1)</f>
        <v>8614</v>
      </c>
      <c r="C51" s="226">
        <v>49967048.579999998</v>
      </c>
      <c r="D51" s="226">
        <v>5122977.68</v>
      </c>
      <c r="E51" s="226">
        <v>4834999.09</v>
      </c>
      <c r="F51" s="166">
        <f>(+D51-E51)/E51</f>
        <v>5.9561250093223876E-2</v>
      </c>
      <c r="G51" s="241">
        <f>D51/C51</f>
        <v>0.10252712188509254</v>
      </c>
      <c r="H51" s="242">
        <f>1-G51</f>
        <v>0.8974728781149075</v>
      </c>
      <c r="I51" s="157"/>
    </row>
    <row r="52" spans="1:9" ht="15.75" x14ac:dyDescent="0.25">
      <c r="A52" s="164"/>
      <c r="B52" s="165">
        <f>DATE(23,9,1)</f>
        <v>8645</v>
      </c>
      <c r="C52" s="226">
        <v>48479872.609999999</v>
      </c>
      <c r="D52" s="226">
        <v>4693957.13</v>
      </c>
      <c r="E52" s="226">
        <v>4841899.8</v>
      </c>
      <c r="F52" s="166">
        <f>(+D52-E52)/E52</f>
        <v>-3.0554674014526266E-2</v>
      </c>
      <c r="G52" s="241">
        <f>D52/C52</f>
        <v>9.6822802480544715E-2</v>
      </c>
      <c r="H52" s="242">
        <f>1-G52</f>
        <v>0.90317719751945524</v>
      </c>
      <c r="I52" s="157"/>
    </row>
    <row r="53" spans="1:9" ht="15.75" x14ac:dyDescent="0.25">
      <c r="A53" s="164"/>
      <c r="B53" s="165">
        <f>DATE(23,10,1)</f>
        <v>8675</v>
      </c>
      <c r="C53" s="226">
        <v>45241468.390000001</v>
      </c>
      <c r="D53" s="226">
        <v>4687600.6900000004</v>
      </c>
      <c r="E53" s="226">
        <v>4853868.22</v>
      </c>
      <c r="F53" s="166">
        <f>(+D53-E53)/E53</f>
        <v>-3.4254644432847689E-2</v>
      </c>
      <c r="G53" s="241">
        <f>D53/C53</f>
        <v>0.10361292099520204</v>
      </c>
      <c r="H53" s="242">
        <f>1-G53</f>
        <v>0.89638707900479797</v>
      </c>
      <c r="I53" s="157"/>
    </row>
    <row r="54" spans="1:9" ht="15.75" x14ac:dyDescent="0.25">
      <c r="A54" s="164"/>
      <c r="B54" s="165">
        <f>DATE(23,11,1)</f>
        <v>8706</v>
      </c>
      <c r="C54" s="226">
        <v>44523750.759999998</v>
      </c>
      <c r="D54" s="226">
        <v>4597031.58</v>
      </c>
      <c r="E54" s="226">
        <v>4436643.53</v>
      </c>
      <c r="F54" s="166">
        <f>(+D54-E54)/E54</f>
        <v>3.6150763277571642E-2</v>
      </c>
      <c r="G54" s="241">
        <f>D54/C54</f>
        <v>0.10324897389664572</v>
      </c>
      <c r="H54" s="242">
        <f>1-G54</f>
        <v>0.89675102610335422</v>
      </c>
      <c r="I54" s="157"/>
    </row>
    <row r="55" spans="1:9" ht="15.75" thickBot="1" x14ac:dyDescent="0.25">
      <c r="A55" s="167"/>
      <c r="B55" s="165"/>
      <c r="C55" s="226"/>
      <c r="D55" s="226"/>
      <c r="E55" s="226"/>
      <c r="F55" s="166"/>
      <c r="G55" s="241"/>
      <c r="H55" s="242"/>
      <c r="I55" s="157"/>
    </row>
    <row r="56" spans="1:9" ht="17.25" thickTop="1" thickBot="1" x14ac:dyDescent="0.3">
      <c r="A56" s="174" t="s">
        <v>14</v>
      </c>
      <c r="B56" s="175"/>
      <c r="C56" s="228">
        <f>SUM(C50:C55)</f>
        <v>241451921.32999998</v>
      </c>
      <c r="D56" s="230">
        <f>SUM(D50:D55)</f>
        <v>24677386.910000004</v>
      </c>
      <c r="E56" s="271">
        <f>SUM(E50:E55)</f>
        <v>24526630.739999998</v>
      </c>
      <c r="F56" s="272">
        <f>(+D56-E56)/E56</f>
        <v>6.1466318630605974E-3</v>
      </c>
      <c r="G56" s="249">
        <f>D56/C56</f>
        <v>0.10220414388946873</v>
      </c>
      <c r="H56" s="270">
        <f>1-G56</f>
        <v>0.89779585611053125</v>
      </c>
      <c r="I56" s="157"/>
    </row>
    <row r="57" spans="1:9" ht="15.75" thickTop="1" x14ac:dyDescent="0.2">
      <c r="A57" s="167"/>
      <c r="B57" s="168"/>
      <c r="C57" s="226"/>
      <c r="D57" s="226"/>
      <c r="E57" s="226"/>
      <c r="F57" s="166"/>
      <c r="G57" s="241"/>
      <c r="H57" s="242"/>
      <c r="I57" s="157"/>
    </row>
    <row r="58" spans="1:9" ht="15.75" x14ac:dyDescent="0.25">
      <c r="A58" s="290" t="s">
        <v>67</v>
      </c>
      <c r="B58" s="165">
        <f>DATE(23,7,1)</f>
        <v>8583</v>
      </c>
      <c r="C58" s="226">
        <v>89298695.370000005</v>
      </c>
      <c r="D58" s="226">
        <v>9977929.8800000008</v>
      </c>
      <c r="E58" s="226">
        <v>9654928.8200000003</v>
      </c>
      <c r="F58" s="166">
        <f>(+D58-E58)/E58</f>
        <v>3.3454525250451353E-2</v>
      </c>
      <c r="G58" s="241">
        <f>D58/C58</f>
        <v>0.11173656948354586</v>
      </c>
      <c r="H58" s="242">
        <f>1-G58</f>
        <v>0.88826343051645418</v>
      </c>
      <c r="I58" s="157"/>
    </row>
    <row r="59" spans="1:9" ht="15.75" x14ac:dyDescent="0.25">
      <c r="A59" s="290"/>
      <c r="B59" s="165">
        <f>DATE(23,8,1)</f>
        <v>8614</v>
      </c>
      <c r="C59" s="226">
        <v>89627706.310000002</v>
      </c>
      <c r="D59" s="226">
        <v>9956028.8800000008</v>
      </c>
      <c r="E59" s="226">
        <v>9270730.9700000007</v>
      </c>
      <c r="F59" s="166">
        <f>(+D59-E59)/E59</f>
        <v>7.3920590751432425E-2</v>
      </c>
      <c r="G59" s="241">
        <f>D59/C59</f>
        <v>0.11108204471466186</v>
      </c>
      <c r="H59" s="242">
        <f>1-G59</f>
        <v>0.88891795528533812</v>
      </c>
      <c r="I59" s="157"/>
    </row>
    <row r="60" spans="1:9" ht="15.75" x14ac:dyDescent="0.25">
      <c r="A60" s="290"/>
      <c r="B60" s="165">
        <f>DATE(23,9,1)</f>
        <v>8645</v>
      </c>
      <c r="C60" s="226">
        <v>95507709.879999995</v>
      </c>
      <c r="D60" s="226">
        <v>10479555.779999999</v>
      </c>
      <c r="E60" s="226">
        <v>9440089.3000000007</v>
      </c>
      <c r="F60" s="166">
        <f>(+D60-E60)/E60</f>
        <v>0.11011193294537992</v>
      </c>
      <c r="G60" s="241">
        <f>D60/C60</f>
        <v>0.10972471011153932</v>
      </c>
      <c r="H60" s="242">
        <f>1-G60</f>
        <v>0.89027528988846072</v>
      </c>
      <c r="I60" s="157"/>
    </row>
    <row r="61" spans="1:9" ht="15.75" x14ac:dyDescent="0.25">
      <c r="A61" s="290"/>
      <c r="B61" s="165">
        <f>DATE(23,10,1)</f>
        <v>8675</v>
      </c>
      <c r="C61" s="226">
        <v>94703586.390000001</v>
      </c>
      <c r="D61" s="226">
        <v>10708668.119999999</v>
      </c>
      <c r="E61" s="226">
        <v>9283650.1199999992</v>
      </c>
      <c r="F61" s="166">
        <f>(+D61-E61)/E61</f>
        <v>0.15349759863634327</v>
      </c>
      <c r="G61" s="241">
        <f>D61/C61</f>
        <v>0.1130756344949863</v>
      </c>
      <c r="H61" s="242">
        <f>1-G61</f>
        <v>0.88692436550501375</v>
      </c>
      <c r="I61" s="157"/>
    </row>
    <row r="62" spans="1:9" ht="15.75" x14ac:dyDescent="0.25">
      <c r="A62" s="290"/>
      <c r="B62" s="165">
        <f>DATE(23,11,1)</f>
        <v>8706</v>
      </c>
      <c r="C62" s="226">
        <v>94032282.400000006</v>
      </c>
      <c r="D62" s="226">
        <v>10522780.289999999</v>
      </c>
      <c r="E62" s="226">
        <v>9336104.8499999996</v>
      </c>
      <c r="F62" s="166">
        <f>(+D62-E62)/E62</f>
        <v>0.12710605322732632</v>
      </c>
      <c r="G62" s="241">
        <f>D62/C62</f>
        <v>0.11190603930294474</v>
      </c>
      <c r="H62" s="242">
        <f>1-G62</f>
        <v>0.88809396069705526</v>
      </c>
      <c r="I62" s="157"/>
    </row>
    <row r="63" spans="1:9" ht="15.75" thickBot="1" x14ac:dyDescent="0.25">
      <c r="A63" s="167"/>
      <c r="B63" s="165"/>
      <c r="C63" s="226"/>
      <c r="D63" s="226"/>
      <c r="E63" s="226"/>
      <c r="F63" s="166"/>
      <c r="G63" s="241"/>
      <c r="H63" s="242"/>
      <c r="I63" s="157"/>
    </row>
    <row r="64" spans="1:9" ht="17.25" thickTop="1" thickBot="1" x14ac:dyDescent="0.3">
      <c r="A64" s="174" t="s">
        <v>14</v>
      </c>
      <c r="B64" s="175"/>
      <c r="C64" s="228">
        <f>SUM(C58:C63)</f>
        <v>463169980.35000002</v>
      </c>
      <c r="D64" s="230">
        <f>SUM(D58:D63)</f>
        <v>51644962.949999996</v>
      </c>
      <c r="E64" s="271">
        <f>SUM(E58:E63)</f>
        <v>46985504.060000002</v>
      </c>
      <c r="F64" s="272">
        <f>(+D64-E64)/E64</f>
        <v>9.916800901081986E-2</v>
      </c>
      <c r="G64" s="249">
        <f>D64/C64</f>
        <v>0.11150326044657266</v>
      </c>
      <c r="H64" s="270">
        <f>1-G64</f>
        <v>0.88849673955342734</v>
      </c>
      <c r="I64" s="157"/>
    </row>
    <row r="65" spans="1:9" ht="15.75" thickTop="1" x14ac:dyDescent="0.2">
      <c r="A65" s="167"/>
      <c r="B65" s="168"/>
      <c r="C65" s="226"/>
      <c r="D65" s="226"/>
      <c r="E65" s="226"/>
      <c r="F65" s="166"/>
      <c r="G65" s="241"/>
      <c r="H65" s="242"/>
      <c r="I65" s="157"/>
    </row>
    <row r="66" spans="1:9" ht="15.75" x14ac:dyDescent="0.25">
      <c r="A66" s="164" t="s">
        <v>69</v>
      </c>
      <c r="B66" s="165">
        <f>DATE(23,7,1)</f>
        <v>8583</v>
      </c>
      <c r="C66" s="226">
        <v>121213119.26000001</v>
      </c>
      <c r="D66" s="226">
        <v>12329543.52</v>
      </c>
      <c r="E66" s="226">
        <v>11762621.74</v>
      </c>
      <c r="F66" s="166">
        <f>(+D66-E66)/E66</f>
        <v>4.8196889480184822E-2</v>
      </c>
      <c r="G66" s="241">
        <f>D66/C66</f>
        <v>0.10171789650552054</v>
      </c>
      <c r="H66" s="242">
        <f>1-G66</f>
        <v>0.89828210349447946</v>
      </c>
      <c r="I66" s="157"/>
    </row>
    <row r="67" spans="1:9" ht="15.75" x14ac:dyDescent="0.25">
      <c r="A67" s="164"/>
      <c r="B67" s="165">
        <f>DATE(23,8,1)</f>
        <v>8614</v>
      </c>
      <c r="C67" s="226">
        <v>112407031.68000001</v>
      </c>
      <c r="D67" s="226">
        <v>11665095.210000001</v>
      </c>
      <c r="E67" s="226">
        <v>12540537.029999999</v>
      </c>
      <c r="F67" s="166">
        <f>(+D67-E67)/E67</f>
        <v>-6.9808957774753169E-2</v>
      </c>
      <c r="G67" s="241">
        <f>D67/C67</f>
        <v>0.10377549371829477</v>
      </c>
      <c r="H67" s="242">
        <f>1-G67</f>
        <v>0.89622450628170525</v>
      </c>
      <c r="I67" s="157"/>
    </row>
    <row r="68" spans="1:9" ht="15.75" x14ac:dyDescent="0.25">
      <c r="A68" s="164"/>
      <c r="B68" s="165">
        <f>DATE(23,9,1)</f>
        <v>8645</v>
      </c>
      <c r="C68" s="226">
        <v>114671749.77</v>
      </c>
      <c r="D68" s="226">
        <v>12009719.560000001</v>
      </c>
      <c r="E68" s="226">
        <v>12203478.51</v>
      </c>
      <c r="F68" s="166">
        <f>(+D68-E68)/E68</f>
        <v>-1.58773541364641E-2</v>
      </c>
      <c r="G68" s="241">
        <f>D68/C68</f>
        <v>0.10473128372147626</v>
      </c>
      <c r="H68" s="242">
        <f>1-G68</f>
        <v>0.89526871627852378</v>
      </c>
      <c r="I68" s="157"/>
    </row>
    <row r="69" spans="1:9" ht="15.75" x14ac:dyDescent="0.25">
      <c r="A69" s="164"/>
      <c r="B69" s="165">
        <f>DATE(23,10,1)</f>
        <v>8675</v>
      </c>
      <c r="C69" s="226">
        <v>104976582.06999999</v>
      </c>
      <c r="D69" s="226">
        <v>10536048.18</v>
      </c>
      <c r="E69" s="226">
        <v>11570843.18</v>
      </c>
      <c r="F69" s="166">
        <f>(+D69-E69)/E69</f>
        <v>-8.9431252666929667E-2</v>
      </c>
      <c r="G69" s="241">
        <f>D69/C69</f>
        <v>0.10036570035185945</v>
      </c>
      <c r="H69" s="242">
        <f>1-G69</f>
        <v>0.89963429964814057</v>
      </c>
      <c r="I69" s="157"/>
    </row>
    <row r="70" spans="1:9" ht="15.75" x14ac:dyDescent="0.25">
      <c r="A70" s="164"/>
      <c r="B70" s="165">
        <f>DATE(23,11,1)</f>
        <v>8706</v>
      </c>
      <c r="C70" s="226">
        <v>104619738.67</v>
      </c>
      <c r="D70" s="226">
        <v>10666938.560000001</v>
      </c>
      <c r="E70" s="226">
        <v>10635557.710000001</v>
      </c>
      <c r="F70" s="166">
        <f>(+D70-E70)/E70</f>
        <v>2.9505598912310943E-3</v>
      </c>
      <c r="G70" s="241">
        <f>D70/C70</f>
        <v>0.10195913979145481</v>
      </c>
      <c r="H70" s="242">
        <f>1-G70</f>
        <v>0.89804086020854523</v>
      </c>
      <c r="I70" s="157"/>
    </row>
    <row r="71" spans="1:9" ht="15.75" thickBot="1" x14ac:dyDescent="0.25">
      <c r="A71" s="167"/>
      <c r="B71" s="165"/>
      <c r="C71" s="226"/>
      <c r="D71" s="226"/>
      <c r="E71" s="226"/>
      <c r="F71" s="166"/>
      <c r="G71" s="241"/>
      <c r="H71" s="242"/>
      <c r="I71" s="157"/>
    </row>
    <row r="72" spans="1:9" ht="17.25" thickTop="1" thickBot="1" x14ac:dyDescent="0.3">
      <c r="A72" s="174" t="s">
        <v>14</v>
      </c>
      <c r="B72" s="175"/>
      <c r="C72" s="228">
        <f>SUM(C66:C71)</f>
        <v>557888221.44999993</v>
      </c>
      <c r="D72" s="230">
        <f>SUM(D66:D71)</f>
        <v>57207345.030000001</v>
      </c>
      <c r="E72" s="271">
        <f>SUM(E66:E71)</f>
        <v>58713038.170000002</v>
      </c>
      <c r="F72" s="176">
        <f>(+D72-E72)/E72</f>
        <v>-2.5644953607073754E-2</v>
      </c>
      <c r="G72" s="249">
        <f>D72/C72</f>
        <v>0.10254266505450348</v>
      </c>
      <c r="H72" s="270">
        <f>1-G72</f>
        <v>0.89745733494549651</v>
      </c>
      <c r="I72" s="157"/>
    </row>
    <row r="73" spans="1:9" ht="15.75" thickTop="1" x14ac:dyDescent="0.2">
      <c r="A73" s="167"/>
      <c r="B73" s="179"/>
      <c r="C73" s="229"/>
      <c r="D73" s="229"/>
      <c r="E73" s="229"/>
      <c r="F73" s="180"/>
      <c r="G73" s="247"/>
      <c r="H73" s="248"/>
      <c r="I73" s="157"/>
    </row>
    <row r="74" spans="1:9" ht="15.75" x14ac:dyDescent="0.25">
      <c r="A74" s="164" t="s">
        <v>16</v>
      </c>
      <c r="B74" s="165">
        <f>DATE(23,7,1)</f>
        <v>8583</v>
      </c>
      <c r="C74" s="226">
        <v>160295640.59</v>
      </c>
      <c r="D74" s="226">
        <v>15534932.51</v>
      </c>
      <c r="E74" s="226">
        <v>15914314.48</v>
      </c>
      <c r="F74" s="166">
        <f>(+D74-E74)/E74</f>
        <v>-2.383903940548501E-2</v>
      </c>
      <c r="G74" s="241">
        <f>D74/C74</f>
        <v>9.691425451634611E-2</v>
      </c>
      <c r="H74" s="242">
        <f>1-G74</f>
        <v>0.90308574548365383</v>
      </c>
      <c r="I74" s="157"/>
    </row>
    <row r="75" spans="1:9" ht="15.75" x14ac:dyDescent="0.25">
      <c r="A75" s="164"/>
      <c r="B75" s="165">
        <f>DATE(23,8,1)</f>
        <v>8614</v>
      </c>
      <c r="C75" s="226">
        <v>149700012.46000001</v>
      </c>
      <c r="D75" s="226">
        <v>14573354.48</v>
      </c>
      <c r="E75" s="226">
        <v>14340389.18</v>
      </c>
      <c r="F75" s="166">
        <f>(+D75-E75)/E75</f>
        <v>1.6245395928648064E-2</v>
      </c>
      <c r="G75" s="241">
        <f>D75/C75</f>
        <v>9.7350389225211428E-2</v>
      </c>
      <c r="H75" s="242">
        <f>1-G75</f>
        <v>0.90264961077478856</v>
      </c>
      <c r="I75" s="157"/>
    </row>
    <row r="76" spans="1:9" ht="15.75" x14ac:dyDescent="0.25">
      <c r="A76" s="164"/>
      <c r="B76" s="165">
        <f>DATE(23,9,1)</f>
        <v>8645</v>
      </c>
      <c r="C76" s="226">
        <v>152315348.52000001</v>
      </c>
      <c r="D76" s="226">
        <v>14733622.32</v>
      </c>
      <c r="E76" s="226">
        <v>15068846.289999999</v>
      </c>
      <c r="F76" s="166">
        <f>(+D76-E76)/E76</f>
        <v>-2.2246160293138063E-2</v>
      </c>
      <c r="G76" s="241">
        <f>D76/C76</f>
        <v>9.6731041639348508E-2</v>
      </c>
      <c r="H76" s="242">
        <f>1-G76</f>
        <v>0.90326895836065146</v>
      </c>
      <c r="I76" s="157"/>
    </row>
    <row r="77" spans="1:9" ht="15.75" x14ac:dyDescent="0.25">
      <c r="A77" s="164"/>
      <c r="B77" s="165">
        <f>DATE(23,10,1)</f>
        <v>8675</v>
      </c>
      <c r="C77" s="226">
        <v>141638869.83000001</v>
      </c>
      <c r="D77" s="226">
        <v>13951699.710000001</v>
      </c>
      <c r="E77" s="226">
        <v>14552868.960000001</v>
      </c>
      <c r="F77" s="166">
        <f>(+D77-E77)/E77</f>
        <v>-4.1309328878887941E-2</v>
      </c>
      <c r="G77" s="241">
        <f>D77/C77</f>
        <v>9.8501913540720312E-2</v>
      </c>
      <c r="H77" s="242">
        <f>1-G77</f>
        <v>0.90149808645927965</v>
      </c>
      <c r="I77" s="157"/>
    </row>
    <row r="78" spans="1:9" ht="15.75" x14ac:dyDescent="0.25">
      <c r="A78" s="164"/>
      <c r="B78" s="165">
        <f>DATE(23,11,1)</f>
        <v>8706</v>
      </c>
      <c r="C78" s="226">
        <v>135854742.69</v>
      </c>
      <c r="D78" s="226">
        <v>12735247.210000001</v>
      </c>
      <c r="E78" s="226">
        <v>13319735.5</v>
      </c>
      <c r="F78" s="166">
        <f>(+D78-E78)/E78</f>
        <v>-4.3881373620369493E-2</v>
      </c>
      <c r="G78" s="241">
        <f>D78/C78</f>
        <v>9.374164609814109E-2</v>
      </c>
      <c r="H78" s="242">
        <f>1-G78</f>
        <v>0.90625835390185894</v>
      </c>
      <c r="I78" s="157"/>
    </row>
    <row r="79" spans="1:9" ht="15.75" customHeight="1" thickBot="1" x14ac:dyDescent="0.3">
      <c r="A79" s="164"/>
      <c r="B79" s="165"/>
      <c r="C79" s="226"/>
      <c r="D79" s="226"/>
      <c r="E79" s="226"/>
      <c r="F79" s="166"/>
      <c r="G79" s="241"/>
      <c r="H79" s="242"/>
      <c r="I79" s="157"/>
    </row>
    <row r="80" spans="1:9" ht="17.25" thickTop="1" thickBot="1" x14ac:dyDescent="0.3">
      <c r="A80" s="174" t="s">
        <v>14</v>
      </c>
      <c r="B80" s="181"/>
      <c r="C80" s="228">
        <f>SUM(C74:C79)</f>
        <v>739804614.09000015</v>
      </c>
      <c r="D80" s="228">
        <f>SUM(D74:D79)</f>
        <v>71528856.230000004</v>
      </c>
      <c r="E80" s="228">
        <f>SUM(E74:E79)</f>
        <v>73196154.409999996</v>
      </c>
      <c r="F80" s="176">
        <f>(+D80-E80)/E80</f>
        <v>-2.2778494217890324E-2</v>
      </c>
      <c r="G80" s="245">
        <f>D80/C80</f>
        <v>9.6686145054643083E-2</v>
      </c>
      <c r="H80" s="246">
        <f>1-G80</f>
        <v>0.90331385494535688</v>
      </c>
      <c r="I80" s="157"/>
    </row>
    <row r="81" spans="1:9" ht="15.75" thickTop="1" x14ac:dyDescent="0.2">
      <c r="A81" s="171"/>
      <c r="B81" s="172"/>
      <c r="C81" s="227"/>
      <c r="D81" s="227"/>
      <c r="E81" s="227"/>
      <c r="F81" s="173"/>
      <c r="G81" s="243"/>
      <c r="H81" s="244"/>
      <c r="I81" s="157"/>
    </row>
    <row r="82" spans="1:9" ht="15.75" x14ac:dyDescent="0.25">
      <c r="A82" s="164" t="s">
        <v>53</v>
      </c>
      <c r="B82" s="165">
        <f>DATE(23,7,1)</f>
        <v>8583</v>
      </c>
      <c r="C82" s="226">
        <v>214046132.72999999</v>
      </c>
      <c r="D82" s="226">
        <v>19538214.289999999</v>
      </c>
      <c r="E82" s="226">
        <v>19656587.449999999</v>
      </c>
      <c r="F82" s="166">
        <f>(+D82-E82)/E82</f>
        <v>-6.022060558634767E-3</v>
      </c>
      <c r="G82" s="241">
        <f>D82/C82</f>
        <v>9.1280389142305629E-2</v>
      </c>
      <c r="H82" s="242">
        <f>1-G82</f>
        <v>0.90871961085769437</v>
      </c>
      <c r="I82" s="157"/>
    </row>
    <row r="83" spans="1:9" ht="15.75" x14ac:dyDescent="0.25">
      <c r="A83" s="164"/>
      <c r="B83" s="165">
        <f>DATE(23,8,1)</f>
        <v>8614</v>
      </c>
      <c r="C83" s="226">
        <v>203623905.31</v>
      </c>
      <c r="D83" s="226">
        <v>18436883.300000001</v>
      </c>
      <c r="E83" s="226">
        <v>17776767.91</v>
      </c>
      <c r="F83" s="166">
        <f>(+D83-E83)/E83</f>
        <v>3.7133600063972518E-2</v>
      </c>
      <c r="G83" s="241">
        <f>D83/C83</f>
        <v>9.0543805610306019E-2</v>
      </c>
      <c r="H83" s="242">
        <f>1-G83</f>
        <v>0.90945619438969394</v>
      </c>
      <c r="I83" s="157"/>
    </row>
    <row r="84" spans="1:9" ht="15.75" x14ac:dyDescent="0.25">
      <c r="A84" s="164"/>
      <c r="B84" s="165">
        <f>DATE(23,9,1)</f>
        <v>8645</v>
      </c>
      <c r="C84" s="226">
        <v>197195020.69</v>
      </c>
      <c r="D84" s="226">
        <v>17898589.149999999</v>
      </c>
      <c r="E84" s="226">
        <v>17845168.100000001</v>
      </c>
      <c r="F84" s="166">
        <f>(+D84-E84)/E84</f>
        <v>2.9935862582318299E-3</v>
      </c>
      <c r="G84" s="241">
        <f>D84/C84</f>
        <v>9.0765928507583554E-2</v>
      </c>
      <c r="H84" s="242">
        <f>1-G84</f>
        <v>0.90923407149241642</v>
      </c>
      <c r="I84" s="157"/>
    </row>
    <row r="85" spans="1:9" ht="15.75" x14ac:dyDescent="0.25">
      <c r="A85" s="164"/>
      <c r="B85" s="165">
        <f>DATE(23,10,1)</f>
        <v>8675</v>
      </c>
      <c r="C85" s="226">
        <v>192922839.52000001</v>
      </c>
      <c r="D85" s="226">
        <v>17533849.43</v>
      </c>
      <c r="E85" s="226">
        <v>17788599.370000001</v>
      </c>
      <c r="F85" s="166">
        <f>(+D85-E85)/E85</f>
        <v>-1.4320966743993926E-2</v>
      </c>
      <c r="G85" s="241">
        <f>D85/C85</f>
        <v>9.0885296285421371E-2</v>
      </c>
      <c r="H85" s="242">
        <f>1-G85</f>
        <v>0.90911470371457859</v>
      </c>
      <c r="I85" s="157"/>
    </row>
    <row r="86" spans="1:9" ht="15.75" x14ac:dyDescent="0.25">
      <c r="A86" s="164"/>
      <c r="B86" s="165">
        <f>DATE(23,11,1)</f>
        <v>8706</v>
      </c>
      <c r="C86" s="226">
        <v>193570145.53</v>
      </c>
      <c r="D86" s="226">
        <v>17317167.579999998</v>
      </c>
      <c r="E86" s="226">
        <v>17618885.149999999</v>
      </c>
      <c r="F86" s="166">
        <f>(+D86-E86)/E86</f>
        <v>-1.7124668640001908E-2</v>
      </c>
      <c r="G86" s="241">
        <f>D86/C86</f>
        <v>8.9461975309183914E-2</v>
      </c>
      <c r="H86" s="242">
        <f>1-G86</f>
        <v>0.91053802469081613</v>
      </c>
      <c r="I86" s="157"/>
    </row>
    <row r="87" spans="1:9" ht="15.75" thickBot="1" x14ac:dyDescent="0.25">
      <c r="A87" s="167"/>
      <c r="B87" s="168"/>
      <c r="C87" s="226"/>
      <c r="D87" s="226"/>
      <c r="E87" s="226"/>
      <c r="F87" s="166"/>
      <c r="G87" s="241"/>
      <c r="H87" s="242"/>
      <c r="I87" s="157"/>
    </row>
    <row r="88" spans="1:9" ht="17.25" thickTop="1" thickBot="1" x14ac:dyDescent="0.3">
      <c r="A88" s="174" t="s">
        <v>14</v>
      </c>
      <c r="B88" s="175"/>
      <c r="C88" s="228">
        <f>SUM(C82:C87)</f>
        <v>1001358043.78</v>
      </c>
      <c r="D88" s="228">
        <f>SUM(D82:D87)</f>
        <v>90724703.75</v>
      </c>
      <c r="E88" s="228">
        <f>SUM(E82:E87)</f>
        <v>90686007.979999989</v>
      </c>
      <c r="F88" s="176">
        <f>(+D88-E88)/E88</f>
        <v>4.2670055570805083E-4</v>
      </c>
      <c r="G88" s="249">
        <f>D88/C88</f>
        <v>9.060166272547801E-2</v>
      </c>
      <c r="H88" s="270">
        <f>1-G88</f>
        <v>0.90939833727452202</v>
      </c>
      <c r="I88" s="157"/>
    </row>
    <row r="89" spans="1:9" ht="15.75" thickTop="1" x14ac:dyDescent="0.2">
      <c r="A89" s="167"/>
      <c r="B89" s="168"/>
      <c r="C89" s="226"/>
      <c r="D89" s="226"/>
      <c r="E89" s="226"/>
      <c r="F89" s="166"/>
      <c r="G89" s="241"/>
      <c r="H89" s="242"/>
      <c r="I89" s="157"/>
    </row>
    <row r="90" spans="1:9" ht="15.75" x14ac:dyDescent="0.25">
      <c r="A90" s="164" t="s">
        <v>54</v>
      </c>
      <c r="B90" s="165">
        <f>DATE(23,7,1)</f>
        <v>8583</v>
      </c>
      <c r="C90" s="226">
        <v>28158647.050000001</v>
      </c>
      <c r="D90" s="226">
        <v>3124210.48</v>
      </c>
      <c r="E90" s="226">
        <v>3220140.18</v>
      </c>
      <c r="F90" s="166">
        <f>(+D90-E90)/E90</f>
        <v>-2.9790535392158046E-2</v>
      </c>
      <c r="G90" s="241">
        <f>D90/C90</f>
        <v>0.11095030505025631</v>
      </c>
      <c r="H90" s="242">
        <f>1-G90</f>
        <v>0.88904969494974373</v>
      </c>
      <c r="I90" s="157"/>
    </row>
    <row r="91" spans="1:9" ht="15.75" x14ac:dyDescent="0.25">
      <c r="A91" s="164"/>
      <c r="B91" s="165">
        <f>DATE(23,8,1)</f>
        <v>8614</v>
      </c>
      <c r="C91" s="226">
        <v>24636212.309999999</v>
      </c>
      <c r="D91" s="226">
        <v>2824739.23</v>
      </c>
      <c r="E91" s="226">
        <v>2910388.06</v>
      </c>
      <c r="F91" s="166">
        <f>(+D91-E91)/E91</f>
        <v>-2.94286632003294E-2</v>
      </c>
      <c r="G91" s="241">
        <f>D91/C91</f>
        <v>0.11465801619404863</v>
      </c>
      <c r="H91" s="242">
        <f>1-G91</f>
        <v>0.88534198380595142</v>
      </c>
      <c r="I91" s="157"/>
    </row>
    <row r="92" spans="1:9" ht="15.75" x14ac:dyDescent="0.25">
      <c r="A92" s="164"/>
      <c r="B92" s="165">
        <f>DATE(23,9,1)</f>
        <v>8645</v>
      </c>
      <c r="C92" s="226">
        <v>25252043.170000002</v>
      </c>
      <c r="D92" s="226">
        <v>2831375.91</v>
      </c>
      <c r="E92" s="226">
        <v>3079109.35</v>
      </c>
      <c r="F92" s="166">
        <f>(+D92-E92)/E92</f>
        <v>-8.045620075168812E-2</v>
      </c>
      <c r="G92" s="241">
        <f>D92/C92</f>
        <v>0.11212462654759511</v>
      </c>
      <c r="H92" s="242">
        <f>1-G92</f>
        <v>0.88787537345240486</v>
      </c>
      <c r="I92" s="157"/>
    </row>
    <row r="93" spans="1:9" ht="15.75" x14ac:dyDescent="0.25">
      <c r="A93" s="164"/>
      <c r="B93" s="165">
        <f>DATE(23,10,1)</f>
        <v>8675</v>
      </c>
      <c r="C93" s="226">
        <v>25583626.219999999</v>
      </c>
      <c r="D93" s="226">
        <v>3046238.53</v>
      </c>
      <c r="E93" s="226">
        <v>3026739.97</v>
      </c>
      <c r="F93" s="166">
        <f>(+D93-E93)/E93</f>
        <v>6.4420994843503486E-3</v>
      </c>
      <c r="G93" s="241">
        <f>D93/C93</f>
        <v>0.11906984974704653</v>
      </c>
      <c r="H93" s="242">
        <f>1-G93</f>
        <v>0.88093015025295351</v>
      </c>
      <c r="I93" s="157"/>
    </row>
    <row r="94" spans="1:9" ht="15.75" x14ac:dyDescent="0.25">
      <c r="A94" s="164"/>
      <c r="B94" s="165">
        <f>DATE(23,11,1)</f>
        <v>8706</v>
      </c>
      <c r="C94" s="226">
        <v>26619923.899999999</v>
      </c>
      <c r="D94" s="226">
        <v>2721817.54</v>
      </c>
      <c r="E94" s="226">
        <v>2771028.1</v>
      </c>
      <c r="F94" s="166">
        <f>(+D94-E94)/E94</f>
        <v>-1.7758953797689766E-2</v>
      </c>
      <c r="G94" s="241">
        <f>D94/C94</f>
        <v>0.10224738245776879</v>
      </c>
      <c r="H94" s="242">
        <f>1-G94</f>
        <v>0.89775261754223123</v>
      </c>
      <c r="I94" s="157"/>
    </row>
    <row r="95" spans="1:9" ht="15.75" thickBot="1" x14ac:dyDescent="0.25">
      <c r="A95" s="167"/>
      <c r="B95" s="168"/>
      <c r="C95" s="226"/>
      <c r="D95" s="226"/>
      <c r="E95" s="226"/>
      <c r="F95" s="166"/>
      <c r="G95" s="241"/>
      <c r="H95" s="242"/>
      <c r="I95" s="157"/>
    </row>
    <row r="96" spans="1:9" ht="17.25" thickTop="1" thickBot="1" x14ac:dyDescent="0.3">
      <c r="A96" s="182" t="s">
        <v>14</v>
      </c>
      <c r="B96" s="183"/>
      <c r="C96" s="230">
        <f>SUM(C90:C95)</f>
        <v>130250452.65000001</v>
      </c>
      <c r="D96" s="230">
        <f>SUM(D90:D95)</f>
        <v>14548381.690000001</v>
      </c>
      <c r="E96" s="230">
        <f>SUM(E90:E95)</f>
        <v>15007405.66</v>
      </c>
      <c r="F96" s="176">
        <f>(+D96-E96)/E96</f>
        <v>-3.0586497120115751E-2</v>
      </c>
      <c r="G96" s="249">
        <f>D96/C96</f>
        <v>0.1116954405455573</v>
      </c>
      <c r="H96" s="246">
        <f>1-G96</f>
        <v>0.88830455945444275</v>
      </c>
      <c r="I96" s="157"/>
    </row>
    <row r="97" spans="1:9" ht="15.75" thickTop="1" x14ac:dyDescent="0.2">
      <c r="A97" s="167"/>
      <c r="B97" s="168"/>
      <c r="C97" s="226"/>
      <c r="D97" s="226"/>
      <c r="E97" s="226"/>
      <c r="F97" s="166"/>
      <c r="G97" s="241"/>
      <c r="H97" s="242"/>
      <c r="I97" s="157"/>
    </row>
    <row r="98" spans="1:9" ht="15.75" x14ac:dyDescent="0.25">
      <c r="A98" s="164" t="s">
        <v>37</v>
      </c>
      <c r="B98" s="165">
        <f>DATE(23,7,1)</f>
        <v>8583</v>
      </c>
      <c r="C98" s="226">
        <v>221709382.90000001</v>
      </c>
      <c r="D98" s="226">
        <v>20800777.710000001</v>
      </c>
      <c r="E98" s="226">
        <v>21735779.219999999</v>
      </c>
      <c r="F98" s="166">
        <f>(+D98-E98)/E98</f>
        <v>-4.3016700737356771E-2</v>
      </c>
      <c r="G98" s="241">
        <f>D98/C98</f>
        <v>9.3820015363905468E-2</v>
      </c>
      <c r="H98" s="242">
        <f>1-G98</f>
        <v>0.9061799846360945</v>
      </c>
      <c r="I98" s="157"/>
    </row>
    <row r="99" spans="1:9" ht="15.75" x14ac:dyDescent="0.25">
      <c r="A99" s="164"/>
      <c r="B99" s="165">
        <f>DATE(23,8,1)</f>
        <v>8614</v>
      </c>
      <c r="C99" s="226">
        <v>209669300.15000001</v>
      </c>
      <c r="D99" s="226">
        <v>20038616.34</v>
      </c>
      <c r="E99" s="226">
        <v>20453352.670000002</v>
      </c>
      <c r="F99" s="166">
        <f>(+D99-E99)/E99</f>
        <v>-2.0277180797274245E-2</v>
      </c>
      <c r="G99" s="241">
        <f>D99/C99</f>
        <v>9.5572486413910501E-2</v>
      </c>
      <c r="H99" s="242">
        <f>1-G99</f>
        <v>0.90442751358608953</v>
      </c>
      <c r="I99" s="157"/>
    </row>
    <row r="100" spans="1:9" ht="15.75" x14ac:dyDescent="0.25">
      <c r="A100" s="164"/>
      <c r="B100" s="165">
        <f>DATE(23,9,1)</f>
        <v>8645</v>
      </c>
      <c r="C100" s="226">
        <v>204140702.06999999</v>
      </c>
      <c r="D100" s="226">
        <v>19545369.489999998</v>
      </c>
      <c r="E100" s="226">
        <v>19785542.02</v>
      </c>
      <c r="F100" s="166">
        <f>(+D100-E100)/E100</f>
        <v>-1.2138789513940301E-2</v>
      </c>
      <c r="G100" s="241">
        <f>D100/C100</f>
        <v>9.574459817081396E-2</v>
      </c>
      <c r="H100" s="242">
        <f>1-G100</f>
        <v>0.90425540182918607</v>
      </c>
      <c r="I100" s="157"/>
    </row>
    <row r="101" spans="1:9" ht="15.75" x14ac:dyDescent="0.25">
      <c r="A101" s="164"/>
      <c r="B101" s="165">
        <f>DATE(23,10,1)</f>
        <v>8675</v>
      </c>
      <c r="C101" s="226">
        <v>199447600.25999999</v>
      </c>
      <c r="D101" s="226">
        <v>18492281.440000001</v>
      </c>
      <c r="E101" s="226">
        <v>19416414.079999998</v>
      </c>
      <c r="F101" s="166">
        <f>(+D101-E101)/E101</f>
        <v>-4.7595433234600491E-2</v>
      </c>
      <c r="G101" s="241">
        <f>D101/C101</f>
        <v>9.2717492794565856E-2</v>
      </c>
      <c r="H101" s="242">
        <f>1-G101</f>
        <v>0.90728250720543413</v>
      </c>
      <c r="I101" s="157"/>
    </row>
    <row r="102" spans="1:9" ht="15.75" x14ac:dyDescent="0.25">
      <c r="A102" s="164"/>
      <c r="B102" s="165">
        <f>DATE(23,11,1)</f>
        <v>8706</v>
      </c>
      <c r="C102" s="226">
        <v>202111138.21000001</v>
      </c>
      <c r="D102" s="226">
        <v>18402679.75</v>
      </c>
      <c r="E102" s="226">
        <v>19493781.030000001</v>
      </c>
      <c r="F102" s="166">
        <f>(+D102-E102)/E102</f>
        <v>-5.5971762395445414E-2</v>
      </c>
      <c r="G102" s="241">
        <f>D102/C102</f>
        <v>9.105227902323236E-2</v>
      </c>
      <c r="H102" s="242">
        <f>1-G102</f>
        <v>0.90894772097676768</v>
      </c>
      <c r="I102" s="157"/>
    </row>
    <row r="103" spans="1:9" ht="15.75" thickBot="1" x14ac:dyDescent="0.25">
      <c r="A103" s="167"/>
      <c r="B103" s="168"/>
      <c r="C103" s="226"/>
      <c r="D103" s="226"/>
      <c r="E103" s="226"/>
      <c r="F103" s="166"/>
      <c r="G103" s="241"/>
      <c r="H103" s="242"/>
      <c r="I103" s="157"/>
    </row>
    <row r="104" spans="1:9" ht="17.25" thickTop="1" thickBot="1" x14ac:dyDescent="0.3">
      <c r="A104" s="174" t="s">
        <v>14</v>
      </c>
      <c r="B104" s="175"/>
      <c r="C104" s="228">
        <f>SUM(C98:C103)</f>
        <v>1037078123.59</v>
      </c>
      <c r="D104" s="228">
        <f>SUM(D98:D103)</f>
        <v>97279724.729999989</v>
      </c>
      <c r="E104" s="228">
        <f>SUM(E98:E103)</f>
        <v>100884869.02</v>
      </c>
      <c r="F104" s="176">
        <f>(+D104-E104)/E104</f>
        <v>-3.573523289488835E-2</v>
      </c>
      <c r="G104" s="245">
        <f>D104/C104</f>
        <v>9.3801732499429996E-2</v>
      </c>
      <c r="H104" s="246">
        <f>1-G104</f>
        <v>0.90619826750056998</v>
      </c>
      <c r="I104" s="157"/>
    </row>
    <row r="105" spans="1:9" ht="15.75" thickTop="1" x14ac:dyDescent="0.2">
      <c r="A105" s="167"/>
      <c r="B105" s="168"/>
      <c r="C105" s="226"/>
      <c r="D105" s="226"/>
      <c r="E105" s="226"/>
      <c r="F105" s="166"/>
      <c r="G105" s="241"/>
      <c r="H105" s="242"/>
      <c r="I105" s="157"/>
    </row>
    <row r="106" spans="1:9" ht="15.75" x14ac:dyDescent="0.25">
      <c r="A106" s="164" t="s">
        <v>57</v>
      </c>
      <c r="B106" s="165">
        <f>DATE(23,7,1)</f>
        <v>8583</v>
      </c>
      <c r="C106" s="226">
        <v>33435275.829999998</v>
      </c>
      <c r="D106" s="226">
        <v>3743935.17</v>
      </c>
      <c r="E106" s="226">
        <v>3941098.7</v>
      </c>
      <c r="F106" s="166">
        <f>(+D106-E106)/E106</f>
        <v>-5.0027554498952347E-2</v>
      </c>
      <c r="G106" s="241">
        <f>D106/C106</f>
        <v>0.11197560292416467</v>
      </c>
      <c r="H106" s="242">
        <f>1-G106</f>
        <v>0.88802439707583536</v>
      </c>
      <c r="I106" s="157"/>
    </row>
    <row r="107" spans="1:9" ht="15.75" x14ac:dyDescent="0.25">
      <c r="A107" s="164"/>
      <c r="B107" s="165">
        <f>DATE(23,8,1)</f>
        <v>8614</v>
      </c>
      <c r="C107" s="226">
        <v>32794629.890000001</v>
      </c>
      <c r="D107" s="226">
        <v>3650833.47</v>
      </c>
      <c r="E107" s="226">
        <v>3508347.49</v>
      </c>
      <c r="F107" s="166">
        <f>(+D107-E107)/E107</f>
        <v>4.0613417116216154E-2</v>
      </c>
      <c r="G107" s="241">
        <f>D107/C107</f>
        <v>0.11132412478035746</v>
      </c>
      <c r="H107" s="242">
        <f>1-G107</f>
        <v>0.88867587521964253</v>
      </c>
      <c r="I107" s="157"/>
    </row>
    <row r="108" spans="1:9" ht="15.75" x14ac:dyDescent="0.25">
      <c r="A108" s="164"/>
      <c r="B108" s="165">
        <f>DATE(23,9,1)</f>
        <v>8645</v>
      </c>
      <c r="C108" s="226">
        <v>29987636.98</v>
      </c>
      <c r="D108" s="226">
        <v>3571965.85</v>
      </c>
      <c r="E108" s="226">
        <v>3766686.61</v>
      </c>
      <c r="F108" s="166">
        <f>(+D108-E108)/E108</f>
        <v>-5.16955032794724E-2</v>
      </c>
      <c r="G108" s="241">
        <f>D108/C108</f>
        <v>0.1191146155458095</v>
      </c>
      <c r="H108" s="242">
        <f>1-G108</f>
        <v>0.88088538445419051</v>
      </c>
      <c r="I108" s="157"/>
    </row>
    <row r="109" spans="1:9" ht="15.75" x14ac:dyDescent="0.25">
      <c r="A109" s="164"/>
      <c r="B109" s="165">
        <f>DATE(23,10,1)</f>
        <v>8675</v>
      </c>
      <c r="C109" s="226">
        <v>30636225.07</v>
      </c>
      <c r="D109" s="226">
        <v>3454191.96</v>
      </c>
      <c r="E109" s="226">
        <v>3644045.37</v>
      </c>
      <c r="F109" s="166">
        <f>(+D109-E109)/E109</f>
        <v>-5.209962849611835E-2</v>
      </c>
      <c r="G109" s="241">
        <f>D109/C109</f>
        <v>0.11274861547424975</v>
      </c>
      <c r="H109" s="242">
        <f>1-G109</f>
        <v>0.88725138452575025</v>
      </c>
      <c r="I109" s="157"/>
    </row>
    <row r="110" spans="1:9" ht="15.75" x14ac:dyDescent="0.25">
      <c r="A110" s="164"/>
      <c r="B110" s="165">
        <f>DATE(23,11,1)</f>
        <v>8706</v>
      </c>
      <c r="C110" s="226">
        <v>32172056.850000001</v>
      </c>
      <c r="D110" s="226">
        <v>3511199.02</v>
      </c>
      <c r="E110" s="226">
        <v>3367619.94</v>
      </c>
      <c r="F110" s="166">
        <f>(+D110-E110)/E110</f>
        <v>4.2635179313019529E-2</v>
      </c>
      <c r="G110" s="241">
        <f>D110/C110</f>
        <v>0.10913815788560624</v>
      </c>
      <c r="H110" s="242">
        <f>1-G110</f>
        <v>0.89086184211439379</v>
      </c>
      <c r="I110" s="157"/>
    </row>
    <row r="111" spans="1:9" ht="15.75" thickBot="1" x14ac:dyDescent="0.25">
      <c r="A111" s="167"/>
      <c r="B111" s="168"/>
      <c r="C111" s="226"/>
      <c r="D111" s="226"/>
      <c r="E111" s="226"/>
      <c r="F111" s="166"/>
      <c r="G111" s="241"/>
      <c r="H111" s="242"/>
      <c r="I111" s="157"/>
    </row>
    <row r="112" spans="1:9" ht="17.25" thickTop="1" thickBot="1" x14ac:dyDescent="0.3">
      <c r="A112" s="169" t="s">
        <v>14</v>
      </c>
      <c r="B112" s="155"/>
      <c r="C112" s="223">
        <f>SUM(C106:C111)</f>
        <v>159025824.62</v>
      </c>
      <c r="D112" s="223">
        <f>SUM(D106:D111)</f>
        <v>17932125.469999999</v>
      </c>
      <c r="E112" s="223">
        <f>SUM(E106:E111)</f>
        <v>18227798.110000003</v>
      </c>
      <c r="F112" s="176">
        <f>(+D112-E112)/E112</f>
        <v>-1.6220974042816205E-2</v>
      </c>
      <c r="G112" s="245">
        <f>D112/C112</f>
        <v>0.1127623485861475</v>
      </c>
      <c r="H112" s="246">
        <f>1-G112</f>
        <v>0.88723765141385247</v>
      </c>
      <c r="I112" s="157"/>
    </row>
    <row r="113" spans="1:9" ht="16.5" thickTop="1" thickBot="1" x14ac:dyDescent="0.25">
      <c r="A113" s="171"/>
      <c r="B113" s="172"/>
      <c r="C113" s="227"/>
      <c r="D113" s="227"/>
      <c r="E113" s="227"/>
      <c r="F113" s="173"/>
      <c r="G113" s="243"/>
      <c r="H113" s="244"/>
      <c r="I113" s="157"/>
    </row>
    <row r="114" spans="1:9" ht="17.25" thickTop="1" thickBot="1" x14ac:dyDescent="0.3">
      <c r="A114" s="184" t="s">
        <v>38</v>
      </c>
      <c r="B114" s="155"/>
      <c r="C114" s="223">
        <f>C112+C104+C80+C64+C48+C32+C16+C40+C96+C24+C72+C88+C56</f>
        <v>6941540084.4499989</v>
      </c>
      <c r="D114" s="223">
        <f>D112+D104+D80+D64+D48+D32+D16+D40+D96+D24+D72+D88+D56</f>
        <v>672401570.53999996</v>
      </c>
      <c r="E114" s="223">
        <f>E112+E104+E80+E64+E48+E32+E16+E40+E96+E24+E72+E88+E56</f>
        <v>675732949.24000001</v>
      </c>
      <c r="F114" s="170">
        <f>(+D114-E114)/E114</f>
        <v>-4.9300225832510682E-3</v>
      </c>
      <c r="G114" s="236">
        <f>D114/C114</f>
        <v>9.686633835714234E-2</v>
      </c>
      <c r="H114" s="237">
        <f>1-G114</f>
        <v>0.90313366164285769</v>
      </c>
      <c r="I114" s="157"/>
    </row>
    <row r="115" spans="1:9" ht="17.25" thickTop="1" thickBot="1" x14ac:dyDescent="0.3">
      <c r="A115" s="184"/>
      <c r="B115" s="155"/>
      <c r="C115" s="223"/>
      <c r="D115" s="223"/>
      <c r="E115" s="223"/>
      <c r="F115" s="170"/>
      <c r="G115" s="236"/>
      <c r="H115" s="237"/>
      <c r="I115" s="157"/>
    </row>
    <row r="116" spans="1:9" ht="17.25" thickTop="1" thickBot="1" x14ac:dyDescent="0.3">
      <c r="A116" s="184" t="s">
        <v>39</v>
      </c>
      <c r="B116" s="155"/>
      <c r="C116" s="223">
        <f>+C14+C22+C30+C38+C46+C54+C62+C78+C70+C86+C94+C102+C110</f>
        <v>1323529103.6499999</v>
      </c>
      <c r="D116" s="223">
        <f>+D14+D22+D30+D38+D46+D54+D62+D78+D70+D86+D94+D102+D110</f>
        <v>127000346.98</v>
      </c>
      <c r="E116" s="223">
        <f>+E14+E22+E30+E38+E46+E54+E62+E78+E70+E86+E94+E102+E110</f>
        <v>126156499.92000002</v>
      </c>
      <c r="F116" s="170">
        <f>(+D116-E116)/E116</f>
        <v>6.6888908659886621E-3</v>
      </c>
      <c r="G116" s="236">
        <f>D116/C116</f>
        <v>9.595584005652856E-2</v>
      </c>
      <c r="H116" s="246">
        <f>1-G116</f>
        <v>0.90404415994347143</v>
      </c>
      <c r="I116" s="157"/>
    </row>
    <row r="117" spans="1:9" ht="16.5" thickTop="1" x14ac:dyDescent="0.25">
      <c r="A117" s="185"/>
      <c r="B117" s="186"/>
      <c r="C117" s="231"/>
      <c r="D117" s="231"/>
      <c r="E117" s="231"/>
      <c r="F117" s="187"/>
      <c r="G117" s="250"/>
      <c r="H117" s="250"/>
      <c r="I117" s="151"/>
    </row>
    <row r="118" spans="1:9" ht="16.5" customHeight="1" x14ac:dyDescent="0.3">
      <c r="A118" s="188" t="s">
        <v>49</v>
      </c>
      <c r="B118" s="189"/>
      <c r="C118" s="232"/>
      <c r="D118" s="232"/>
      <c r="E118" s="232"/>
      <c r="F118" s="190"/>
      <c r="G118" s="251"/>
      <c r="H118" s="251"/>
      <c r="I118" s="151"/>
    </row>
    <row r="119" spans="1:9" ht="15.75" x14ac:dyDescent="0.25">
      <c r="A119" s="191"/>
      <c r="B119" s="189"/>
      <c r="C119" s="232"/>
      <c r="D119" s="232"/>
      <c r="E119" s="232"/>
      <c r="F119" s="190"/>
      <c r="G119" s="257"/>
      <c r="H119" s="257"/>
      <c r="I119" s="151"/>
    </row>
    <row r="120" spans="1:9" ht="15.75" x14ac:dyDescent="0.25">
      <c r="A120" s="72"/>
      <c r="I120" s="151"/>
    </row>
  </sheetData>
  <phoneticPr fontId="0" type="noConversion"/>
  <printOptions horizontalCentered="1"/>
  <pageMargins left="0.75" right="0.25" top="0.31940000000000002" bottom="0.2" header="0.5" footer="0.5"/>
  <pageSetup scale="55" orientation="landscape" r:id="rId1"/>
  <headerFooter alignWithMargins="0"/>
  <rowBreaks count="1" manualBreakCount="1">
    <brk id="6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MONTHLY STATS</vt:lpstr>
      <vt:lpstr>YTD TAXES</vt:lpstr>
      <vt:lpstr>TABLE STATS</vt:lpstr>
      <vt:lpstr>HYBRID STATS</vt:lpstr>
      <vt:lpstr>SLOT STATS</vt:lpstr>
      <vt:lpstr>'MONTHLY STATS'!Print_Area</vt:lpstr>
      <vt:lpstr>'SLOT STATS'!Print_Area</vt:lpstr>
      <vt:lpstr>'TABLE STATS'!Print_Area</vt:lpstr>
      <vt:lpstr>'HYBRID STATS'!Print_Titles</vt:lpstr>
      <vt:lpstr>'MONTHLY STATS'!Print_Titles</vt:lpstr>
      <vt:lpstr>'SLOT STATS'!Print_Titles</vt:lpstr>
      <vt:lpstr>'TABLE STATS'!Print_Titles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Bruns</dc:creator>
  <cp:lastModifiedBy>webteam-prod</cp:lastModifiedBy>
  <cp:lastPrinted>2023-12-07T20:03:14Z</cp:lastPrinted>
  <dcterms:created xsi:type="dcterms:W3CDTF">2003-09-09T14:41:43Z</dcterms:created>
  <dcterms:modified xsi:type="dcterms:W3CDTF">2023-12-08T18:03:46Z</dcterms:modified>
</cp:coreProperties>
</file>